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 activeTab="1"/>
  </bookViews>
  <sheets>
    <sheet name="2023" sheetId="22" r:id="rId1"/>
    <sheet name="2023 (2)" sheetId="23" r:id="rId2"/>
  </sheets>
  <definedNames>
    <definedName name="_xlnm.Print_Titles" localSheetId="0">'2023'!$3:$5</definedName>
    <definedName name="_xlnm.Print_Titles" localSheetId="1">'2023 (2)'!$3:$5</definedName>
    <definedName name="_xlnm.Print_Area" localSheetId="0">'2023'!$A$1:$Q$118</definedName>
    <definedName name="_xlnm.Print_Area" localSheetId="1">'2023 (2)'!$A$1:$T$117</definedName>
  </definedNames>
  <calcPr calcId="162913"/>
</workbook>
</file>

<file path=xl/calcChain.xml><?xml version="1.0" encoding="utf-8"?>
<calcChain xmlns="http://schemas.openxmlformats.org/spreadsheetml/2006/main">
  <c r="K74" i="23" l="1"/>
  <c r="J67" i="23"/>
  <c r="N54" i="23" l="1"/>
  <c r="N60" i="23"/>
  <c r="O60" i="23" s="1"/>
  <c r="M60" i="23"/>
  <c r="N59" i="23"/>
  <c r="N58" i="23"/>
  <c r="F59" i="23"/>
  <c r="L59" i="23" s="1"/>
  <c r="F60" i="23"/>
  <c r="S60" i="23" s="1"/>
  <c r="N65" i="23"/>
  <c r="F65" i="23"/>
  <c r="S65" i="23" s="1"/>
  <c r="N90" i="23"/>
  <c r="N89" i="23"/>
  <c r="N88" i="23"/>
  <c r="N87" i="23"/>
  <c r="N85" i="23"/>
  <c r="N84" i="23"/>
  <c r="N81" i="23"/>
  <c r="N51" i="23"/>
  <c r="N50" i="23"/>
  <c r="N49" i="23"/>
  <c r="N47" i="23"/>
  <c r="N46" i="23"/>
  <c r="N45" i="23"/>
  <c r="N44" i="23"/>
  <c r="N43" i="23"/>
  <c r="N42" i="23"/>
  <c r="N41" i="23"/>
  <c r="N40" i="23"/>
  <c r="N38" i="23"/>
  <c r="N37" i="23"/>
  <c r="N36" i="23"/>
  <c r="N35" i="23"/>
  <c r="N34" i="23"/>
  <c r="N32" i="23"/>
  <c r="N31" i="23"/>
  <c r="N30" i="23"/>
  <c r="N29" i="23"/>
  <c r="N28" i="23"/>
  <c r="N23" i="23"/>
  <c r="N22" i="23"/>
  <c r="N19" i="23"/>
  <c r="N18" i="23"/>
  <c r="N15" i="23"/>
  <c r="N14" i="23"/>
  <c r="N13" i="23"/>
  <c r="N12" i="23"/>
  <c r="N7" i="23"/>
  <c r="O65" i="23" l="1"/>
  <c r="L65" i="23"/>
  <c r="O59" i="23"/>
  <c r="P60" i="23"/>
  <c r="Q60" i="23"/>
  <c r="L60" i="23"/>
  <c r="I107" i="23"/>
  <c r="I99" i="23"/>
  <c r="I112" i="23" s="1"/>
  <c r="I98" i="23"/>
  <c r="I97" i="23"/>
  <c r="I86" i="23"/>
  <c r="I80" i="23"/>
  <c r="I91" i="23" s="1"/>
  <c r="I74" i="23"/>
  <c r="I110" i="23" s="1"/>
  <c r="I72" i="23"/>
  <c r="I108" i="23" s="1"/>
  <c r="I61" i="23"/>
  <c r="I39" i="23"/>
  <c r="I24" i="23"/>
  <c r="I20" i="23"/>
  <c r="I17" i="23"/>
  <c r="I11" i="23"/>
  <c r="I9" i="23"/>
  <c r="I16" i="23" l="1"/>
  <c r="I52" i="23"/>
  <c r="I75" i="23"/>
  <c r="I111" i="23" s="1"/>
  <c r="I109" i="23" s="1"/>
  <c r="I106" i="23" s="1"/>
  <c r="I100" i="23"/>
  <c r="I96" i="23"/>
  <c r="I95" i="23" s="1"/>
  <c r="N94" i="23"/>
  <c r="N99" i="23"/>
  <c r="K99" i="23"/>
  <c r="K112" i="23" s="1"/>
  <c r="E99" i="23"/>
  <c r="E112" i="23" s="1"/>
  <c r="R112" i="23"/>
  <c r="G99" i="23"/>
  <c r="G112" i="23" s="1"/>
  <c r="K98" i="23"/>
  <c r="J99" i="23"/>
  <c r="J112" i="23" s="1"/>
  <c r="H99" i="23"/>
  <c r="D99" i="23"/>
  <c r="D112" i="23" s="1"/>
  <c r="N112" i="23"/>
  <c r="F94" i="23"/>
  <c r="I73" i="23" l="1"/>
  <c r="I69" i="23" s="1"/>
  <c r="I77" i="23" s="1"/>
  <c r="I78" i="23" s="1"/>
  <c r="I53" i="23"/>
  <c r="I102" i="23"/>
  <c r="I103" i="23" s="1"/>
  <c r="F99" i="23"/>
  <c r="M99" i="23" s="1"/>
  <c r="H112" i="23"/>
  <c r="F112" i="23" s="1"/>
  <c r="L112" i="23" s="1"/>
  <c r="P94" i="23"/>
  <c r="O99" i="23"/>
  <c r="Q94" i="23"/>
  <c r="L94" i="23"/>
  <c r="S94" i="23"/>
  <c r="M94" i="23"/>
  <c r="O94" i="23"/>
  <c r="P99" i="23" l="1"/>
  <c r="L99" i="23"/>
  <c r="S99" i="23"/>
  <c r="Q99" i="23"/>
  <c r="I114" i="23"/>
  <c r="I115" i="23" s="1"/>
  <c r="O112" i="23"/>
  <c r="S112" i="23"/>
  <c r="M112" i="23"/>
  <c r="P112" i="23"/>
  <c r="Q112" i="23"/>
  <c r="N67" i="23" l="1"/>
  <c r="F67" i="23"/>
  <c r="L67" i="23" s="1"/>
  <c r="F68" i="23"/>
  <c r="N68" i="23"/>
  <c r="E48" i="23"/>
  <c r="N48" i="23" s="1"/>
  <c r="E33" i="23"/>
  <c r="N33" i="23" s="1"/>
  <c r="E21" i="23"/>
  <c r="N21" i="23" s="1"/>
  <c r="E10" i="23"/>
  <c r="N10" i="23" s="1"/>
  <c r="E61" i="23"/>
  <c r="E75" i="23" s="1"/>
  <c r="F54" i="23"/>
  <c r="T54" i="23" s="1"/>
  <c r="F55" i="23"/>
  <c r="H107" i="23"/>
  <c r="H98" i="23"/>
  <c r="H97" i="23"/>
  <c r="H86" i="23"/>
  <c r="H80" i="23"/>
  <c r="H91" i="23" s="1"/>
  <c r="H74" i="23"/>
  <c r="H72" i="23"/>
  <c r="H108" i="23" s="1"/>
  <c r="H61" i="23"/>
  <c r="H75" i="23" s="1"/>
  <c r="H39" i="23"/>
  <c r="H24" i="23"/>
  <c r="H20" i="23"/>
  <c r="H17" i="23"/>
  <c r="H11" i="23"/>
  <c r="H9" i="23"/>
  <c r="R71" i="23"/>
  <c r="S59" i="23"/>
  <c r="A55" i="23"/>
  <c r="A56" i="23" s="1"/>
  <c r="A57" i="23" s="1"/>
  <c r="A58" i="23" s="1"/>
  <c r="A59" i="23" s="1"/>
  <c r="A60" i="23" s="1"/>
  <c r="A61" i="23" s="1"/>
  <c r="H16" i="23" l="1"/>
  <c r="H52" i="23" s="1"/>
  <c r="O54" i="23"/>
  <c r="H96" i="23"/>
  <c r="H95" i="23" s="1"/>
  <c r="H100" i="23" s="1"/>
  <c r="O68" i="23"/>
  <c r="H73" i="23"/>
  <c r="H69" i="23" s="1"/>
  <c r="S68" i="23"/>
  <c r="Q68" i="23"/>
  <c r="M68" i="23"/>
  <c r="P68" i="23"/>
  <c r="L68" i="23"/>
  <c r="L54" i="23"/>
  <c r="Q67" i="23"/>
  <c r="P67" i="23"/>
  <c r="S67" i="23"/>
  <c r="O67" i="23"/>
  <c r="M67" i="23"/>
  <c r="H110" i="23"/>
  <c r="S54" i="23"/>
  <c r="H111" i="23"/>
  <c r="H77" i="23" l="1"/>
  <c r="H78" i="23" s="1"/>
  <c r="H109" i="23"/>
  <c r="H106" i="23" s="1"/>
  <c r="H102" i="23"/>
  <c r="H53" i="23"/>
  <c r="H114" i="23" l="1"/>
  <c r="H115" i="23" s="1"/>
  <c r="H103" i="23"/>
  <c r="D72" i="23"/>
  <c r="J98" i="23"/>
  <c r="G98" i="23"/>
  <c r="N93" i="23"/>
  <c r="N98" i="23" s="1"/>
  <c r="F83" i="23"/>
  <c r="L83" i="23" s="1"/>
  <c r="A84" i="23"/>
  <c r="J72" i="23"/>
  <c r="J108" i="23" s="1"/>
  <c r="K72" i="23"/>
  <c r="J74" i="23"/>
  <c r="G74" i="23"/>
  <c r="G72" i="23"/>
  <c r="J107" i="23"/>
  <c r="J97" i="23"/>
  <c r="J86" i="23"/>
  <c r="J80" i="23"/>
  <c r="J91" i="23" s="1"/>
  <c r="J61" i="23"/>
  <c r="J75" i="23" s="1"/>
  <c r="N56" i="23"/>
  <c r="N72" i="23" s="1"/>
  <c r="J39" i="23"/>
  <c r="J24" i="23"/>
  <c r="J20" i="23"/>
  <c r="J17" i="23"/>
  <c r="J11" i="23"/>
  <c r="J9" i="23"/>
  <c r="J96" i="23" l="1"/>
  <c r="J95" i="23" s="1"/>
  <c r="J100" i="23" s="1"/>
  <c r="O83" i="23"/>
  <c r="S83" i="23"/>
  <c r="J111" i="23"/>
  <c r="J110" i="23"/>
  <c r="J73" i="23"/>
  <c r="J69" i="23" s="1"/>
  <c r="J16" i="23"/>
  <c r="J52" i="23" l="1"/>
  <c r="J102" i="23" s="1"/>
  <c r="J103" i="23" s="1"/>
  <c r="J109" i="23"/>
  <c r="J106" i="23" s="1"/>
  <c r="F105" i="23"/>
  <c r="F98" i="23"/>
  <c r="F93" i="23"/>
  <c r="S93" i="23" s="1"/>
  <c r="F92" i="23"/>
  <c r="T92" i="23" s="1"/>
  <c r="F90" i="23"/>
  <c r="F89" i="23"/>
  <c r="F88" i="23"/>
  <c r="M88" i="23" s="1"/>
  <c r="F87" i="23"/>
  <c r="F85" i="23"/>
  <c r="M85" i="23" s="1"/>
  <c r="F84" i="23"/>
  <c r="F82" i="23"/>
  <c r="F81" i="23"/>
  <c r="F74" i="23"/>
  <c r="F72" i="23"/>
  <c r="F71" i="23"/>
  <c r="S71" i="23" s="1"/>
  <c r="F66" i="23"/>
  <c r="F64" i="23"/>
  <c r="T64" i="23" s="1"/>
  <c r="F63" i="23"/>
  <c r="T63" i="23" s="1"/>
  <c r="F62" i="23"/>
  <c r="T62" i="23" s="1"/>
  <c r="F58" i="23"/>
  <c r="F57" i="23"/>
  <c r="F56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8" i="23"/>
  <c r="F37" i="23"/>
  <c r="F36" i="23"/>
  <c r="F35" i="23"/>
  <c r="M35" i="23" s="1"/>
  <c r="F34" i="23"/>
  <c r="F33" i="23"/>
  <c r="M33" i="23" s="1"/>
  <c r="F32" i="23"/>
  <c r="M32" i="23" s="1"/>
  <c r="F31" i="23"/>
  <c r="F30" i="23"/>
  <c r="F29" i="23"/>
  <c r="F28" i="23"/>
  <c r="F27" i="23"/>
  <c r="F26" i="23"/>
  <c r="F25" i="23"/>
  <c r="F23" i="23"/>
  <c r="T23" i="23" s="1"/>
  <c r="F22" i="23"/>
  <c r="F21" i="23"/>
  <c r="F19" i="23"/>
  <c r="F18" i="23"/>
  <c r="F15" i="23"/>
  <c r="M15" i="23" s="1"/>
  <c r="F14" i="23"/>
  <c r="F13" i="23"/>
  <c r="F12" i="23"/>
  <c r="M12" i="23" s="1"/>
  <c r="F10" i="23"/>
  <c r="T10" i="23" s="1"/>
  <c r="F7" i="23"/>
  <c r="E98" i="23"/>
  <c r="A93" i="23"/>
  <c r="E72" i="23"/>
  <c r="R9" i="23"/>
  <c r="S56" i="23" l="1"/>
  <c r="Q56" i="23"/>
  <c r="O58" i="23"/>
  <c r="L58" i="23"/>
  <c r="J77" i="23"/>
  <c r="J78" i="23" s="1"/>
  <c r="J53" i="23"/>
  <c r="T31" i="23"/>
  <c r="M31" i="23"/>
  <c r="P93" i="23"/>
  <c r="Q93" i="23"/>
  <c r="M93" i="23"/>
  <c r="L93" i="23"/>
  <c r="O93" i="23"/>
  <c r="P98" i="23"/>
  <c r="Q98" i="23"/>
  <c r="M98" i="23"/>
  <c r="J114" i="23"/>
  <c r="J115" i="23" s="1"/>
  <c r="S72" i="23"/>
  <c r="L72" i="23"/>
  <c r="M72" i="23"/>
  <c r="Q72" i="23"/>
  <c r="P72" i="23"/>
  <c r="M13" i="23"/>
  <c r="T13" i="23"/>
  <c r="M66" i="23"/>
  <c r="M56" i="23"/>
  <c r="L56" i="23"/>
  <c r="O56" i="23"/>
  <c r="P56" i="23"/>
  <c r="S23" i="23" l="1"/>
  <c r="R108" i="23"/>
  <c r="N108" i="23"/>
  <c r="K108" i="23"/>
  <c r="G108" i="23"/>
  <c r="F108" i="23" s="1"/>
  <c r="E108" i="23"/>
  <c r="D108" i="23"/>
  <c r="R107" i="23"/>
  <c r="N107" i="23"/>
  <c r="K107" i="23"/>
  <c r="G107" i="23"/>
  <c r="E107" i="23"/>
  <c r="D107" i="23"/>
  <c r="S98" i="23"/>
  <c r="R97" i="23"/>
  <c r="R96" i="23" s="1"/>
  <c r="R95" i="23" s="1"/>
  <c r="K97" i="23"/>
  <c r="K96" i="23" s="1"/>
  <c r="K95" i="23" s="1"/>
  <c r="G97" i="23"/>
  <c r="E97" i="23"/>
  <c r="E96" i="23" s="1"/>
  <c r="E95" i="23" s="1"/>
  <c r="D97" i="23"/>
  <c r="D96" i="23" s="1"/>
  <c r="D95" i="23" s="1"/>
  <c r="N92" i="23"/>
  <c r="N97" i="23" s="1"/>
  <c r="N96" i="23" s="1"/>
  <c r="N95" i="23" s="1"/>
  <c r="Q92" i="23"/>
  <c r="T90" i="23"/>
  <c r="L88" i="23"/>
  <c r="L87" i="23"/>
  <c r="R86" i="23"/>
  <c r="K86" i="23"/>
  <c r="G86" i="23"/>
  <c r="F86" i="23" s="1"/>
  <c r="E86" i="23"/>
  <c r="D86" i="23"/>
  <c r="S85" i="23"/>
  <c r="A85" i="23"/>
  <c r="A86" i="23" s="1"/>
  <c r="L84" i="23"/>
  <c r="S82" i="23"/>
  <c r="N80" i="23"/>
  <c r="N91" i="23" s="1"/>
  <c r="Q81" i="23"/>
  <c r="R80" i="23"/>
  <c r="R91" i="23" s="1"/>
  <c r="K80" i="23"/>
  <c r="K91" i="23" s="1"/>
  <c r="G80" i="23"/>
  <c r="G91" i="23" s="1"/>
  <c r="E80" i="23"/>
  <c r="E91" i="23" s="1"/>
  <c r="D80" i="23"/>
  <c r="R74" i="23"/>
  <c r="E74" i="23"/>
  <c r="D74" i="23"/>
  <c r="O72" i="23"/>
  <c r="O71" i="23"/>
  <c r="N66" i="23"/>
  <c r="P66" i="23" s="1"/>
  <c r="Q66" i="23"/>
  <c r="N64" i="23"/>
  <c r="N63" i="23"/>
  <c r="Q63" i="23"/>
  <c r="N62" i="23"/>
  <c r="S62" i="23"/>
  <c r="R61" i="23"/>
  <c r="R75" i="23" s="1"/>
  <c r="K61" i="23"/>
  <c r="K75" i="23" s="1"/>
  <c r="G61" i="23"/>
  <c r="G75" i="23" s="1"/>
  <c r="D61" i="23"/>
  <c r="D75" i="23" s="1"/>
  <c r="D111" i="23" s="1"/>
  <c r="N57" i="23"/>
  <c r="Q57" i="23"/>
  <c r="N55" i="23"/>
  <c r="N74" i="23" s="1"/>
  <c r="Q55" i="23"/>
  <c r="Q51" i="23"/>
  <c r="S50" i="23"/>
  <c r="Q49" i="23"/>
  <c r="S47" i="23"/>
  <c r="Q45" i="23"/>
  <c r="A45" i="23"/>
  <c r="A46" i="23" s="1"/>
  <c r="A47" i="23" s="1"/>
  <c r="A48" i="23" s="1"/>
  <c r="A49" i="23" s="1"/>
  <c r="A50" i="23" s="1"/>
  <c r="A51" i="23" s="1"/>
  <c r="S44" i="23"/>
  <c r="S42" i="23"/>
  <c r="M41" i="23"/>
  <c r="R39" i="23"/>
  <c r="K39" i="23"/>
  <c r="G39" i="23"/>
  <c r="F39" i="23" s="1"/>
  <c r="E39" i="23"/>
  <c r="N39" i="23" s="1"/>
  <c r="D39" i="23"/>
  <c r="Q38" i="23"/>
  <c r="T35" i="23"/>
  <c r="Q34" i="23"/>
  <c r="S33" i="23"/>
  <c r="S32" i="23"/>
  <c r="L31" i="23"/>
  <c r="A31" i="23"/>
  <c r="A32" i="23" s="1"/>
  <c r="A33" i="23" s="1"/>
  <c r="A34" i="23" s="1"/>
  <c r="A35" i="23" s="1"/>
  <c r="A36" i="23" s="1"/>
  <c r="A37" i="23" s="1"/>
  <c r="A38" i="23" s="1"/>
  <c r="A39" i="23" s="1"/>
  <c r="Q29" i="23"/>
  <c r="Q28" i="23"/>
  <c r="E27" i="23"/>
  <c r="N27" i="23" s="1"/>
  <c r="D27" i="23"/>
  <c r="S26" i="23"/>
  <c r="E26" i="23"/>
  <c r="N26" i="23" s="1"/>
  <c r="D26" i="23"/>
  <c r="S25" i="23"/>
  <c r="E25" i="23"/>
  <c r="N25" i="23" s="1"/>
  <c r="D25" i="23"/>
  <c r="R24" i="23"/>
  <c r="K24" i="23"/>
  <c r="G24" i="23"/>
  <c r="F24" i="23" s="1"/>
  <c r="S21" i="23"/>
  <c r="R20" i="23"/>
  <c r="K20" i="23"/>
  <c r="G20" i="23"/>
  <c r="F20" i="23" s="1"/>
  <c r="E20" i="23"/>
  <c r="N20" i="23" s="1"/>
  <c r="D20" i="23"/>
  <c r="Q19" i="23"/>
  <c r="M18" i="23"/>
  <c r="R17" i="23"/>
  <c r="K17" i="23"/>
  <c r="G17" i="23"/>
  <c r="F17" i="23" s="1"/>
  <c r="E17" i="23"/>
  <c r="N17" i="23" s="1"/>
  <c r="D17" i="23"/>
  <c r="Q13" i="23"/>
  <c r="L12" i="23"/>
  <c r="R11" i="23"/>
  <c r="K11" i="23"/>
  <c r="G11" i="23"/>
  <c r="F11" i="23" s="1"/>
  <c r="E11" i="23"/>
  <c r="N11" i="23" s="1"/>
  <c r="D11" i="23"/>
  <c r="A10" i="23"/>
  <c r="K9" i="23"/>
  <c r="G9" i="23"/>
  <c r="F9" i="23" s="1"/>
  <c r="E9" i="23"/>
  <c r="N9" i="23" s="1"/>
  <c r="D9" i="23"/>
  <c r="T8" i="23"/>
  <c r="S8" i="23"/>
  <c r="C5" i="23"/>
  <c r="D5" i="23" s="1"/>
  <c r="E5" i="23" s="1"/>
  <c r="F5" i="23" s="1"/>
  <c r="G5" i="23" s="1"/>
  <c r="H5" i="23" s="1"/>
  <c r="I5" i="23" s="1"/>
  <c r="J5" i="23" s="1"/>
  <c r="L5" i="23" s="1"/>
  <c r="M5" i="23" s="1"/>
  <c r="N5" i="23" s="1"/>
  <c r="O5" i="23" s="1"/>
  <c r="P5" i="23" s="1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K133" i="22"/>
  <c r="K132" i="22"/>
  <c r="K131" i="22"/>
  <c r="K130" i="22"/>
  <c r="K128" i="22"/>
  <c r="O106" i="22"/>
  <c r="K106" i="22"/>
  <c r="H106" i="22"/>
  <c r="G106" i="22"/>
  <c r="E106" i="22"/>
  <c r="D106" i="22"/>
  <c r="O112" i="22"/>
  <c r="P112" i="22"/>
  <c r="N112" i="22"/>
  <c r="M112" i="22"/>
  <c r="L112" i="22"/>
  <c r="K112" i="22"/>
  <c r="J112" i="22"/>
  <c r="I112" i="22"/>
  <c r="H112" i="22"/>
  <c r="G112" i="22"/>
  <c r="F112" i="22" s="1"/>
  <c r="E112" i="22"/>
  <c r="D112" i="22"/>
  <c r="F89" i="22"/>
  <c r="P87" i="22"/>
  <c r="K74" i="22"/>
  <c r="A56" i="22"/>
  <c r="A57" i="22"/>
  <c r="Q53" i="22"/>
  <c r="O53" i="22"/>
  <c r="P53" i="22"/>
  <c r="N53" i="22"/>
  <c r="J53" i="22"/>
  <c r="I53" i="22"/>
  <c r="H53" i="22"/>
  <c r="G53" i="22"/>
  <c r="F53" i="22"/>
  <c r="E53" i="22"/>
  <c r="D53" i="22"/>
  <c r="N9" i="22"/>
  <c r="M9" i="22"/>
  <c r="L9" i="22"/>
  <c r="K9" i="22"/>
  <c r="H9" i="22"/>
  <c r="G9" i="22"/>
  <c r="Q8" i="22"/>
  <c r="P8" i="22"/>
  <c r="O9" i="22"/>
  <c r="F9" i="22"/>
  <c r="Q9" i="22" s="1"/>
  <c r="E9" i="22"/>
  <c r="D9" i="22"/>
  <c r="D91" i="23" l="1"/>
  <c r="D100" i="23" s="1"/>
  <c r="F107" i="23"/>
  <c r="L107" i="23" s="1"/>
  <c r="N100" i="23"/>
  <c r="K100" i="23"/>
  <c r="Q108" i="23"/>
  <c r="P108" i="23"/>
  <c r="M108" i="23"/>
  <c r="E100" i="23"/>
  <c r="G96" i="23"/>
  <c r="G95" i="23" s="1"/>
  <c r="G100" i="23" s="1"/>
  <c r="F100" i="23" s="1"/>
  <c r="F97" i="23"/>
  <c r="P97" i="23" s="1"/>
  <c r="G111" i="23"/>
  <c r="F111" i="23" s="1"/>
  <c r="F61" i="23"/>
  <c r="S61" i="23" s="1"/>
  <c r="E110" i="23"/>
  <c r="F80" i="23"/>
  <c r="O80" i="23" s="1"/>
  <c r="R111" i="23"/>
  <c r="K73" i="23"/>
  <c r="K69" i="23" s="1"/>
  <c r="L23" i="23"/>
  <c r="E111" i="23"/>
  <c r="Q37" i="23"/>
  <c r="T37" i="23"/>
  <c r="O23" i="23"/>
  <c r="O36" i="23"/>
  <c r="O46" i="23"/>
  <c r="O47" i="23"/>
  <c r="Q47" i="23"/>
  <c r="P49" i="23"/>
  <c r="S51" i="23"/>
  <c r="D110" i="23"/>
  <c r="D109" i="23" s="1"/>
  <c r="D106" i="23" s="1"/>
  <c r="S49" i="23"/>
  <c r="L20" i="23"/>
  <c r="P40" i="23"/>
  <c r="O43" i="23"/>
  <c r="P89" i="23"/>
  <c r="P14" i="23"/>
  <c r="P25" i="23"/>
  <c r="P27" i="23"/>
  <c r="M49" i="23"/>
  <c r="O51" i="23"/>
  <c r="O48" i="23"/>
  <c r="Q85" i="23"/>
  <c r="N110" i="23"/>
  <c r="K16" i="23"/>
  <c r="K52" i="23" s="1"/>
  <c r="S34" i="23"/>
  <c r="O35" i="23"/>
  <c r="S31" i="23"/>
  <c r="L34" i="23"/>
  <c r="Q35" i="23"/>
  <c r="S41" i="23"/>
  <c r="M55" i="23"/>
  <c r="O63" i="23"/>
  <c r="S84" i="23"/>
  <c r="Q31" i="23"/>
  <c r="Q41" i="23"/>
  <c r="P7" i="23"/>
  <c r="R16" i="23"/>
  <c r="R52" i="23" s="1"/>
  <c r="M34" i="23"/>
  <c r="P63" i="23"/>
  <c r="O84" i="23"/>
  <c r="M11" i="23"/>
  <c r="P13" i="23"/>
  <c r="P34" i="23"/>
  <c r="T55" i="23"/>
  <c r="O85" i="23"/>
  <c r="P10" i="23"/>
  <c r="O15" i="23"/>
  <c r="D16" i="23"/>
  <c r="T25" i="23"/>
  <c r="Q32" i="23"/>
  <c r="L47" i="23"/>
  <c r="L49" i="23"/>
  <c r="S88" i="23"/>
  <c r="O98" i="23"/>
  <c r="M19" i="23"/>
  <c r="O22" i="23"/>
  <c r="Q27" i="23"/>
  <c r="L33" i="23"/>
  <c r="M44" i="23"/>
  <c r="P19" i="23"/>
  <c r="P33" i="23"/>
  <c r="P44" i="23"/>
  <c r="Q89" i="23"/>
  <c r="S92" i="23"/>
  <c r="Q18" i="23"/>
  <c r="S19" i="23"/>
  <c r="M26" i="23"/>
  <c r="Q33" i="23"/>
  <c r="T44" i="23"/>
  <c r="Q14" i="23"/>
  <c r="G16" i="23"/>
  <c r="S18" i="23"/>
  <c r="T19" i="23"/>
  <c r="S20" i="23"/>
  <c r="T26" i="23"/>
  <c r="P32" i="23"/>
  <c r="T34" i="23"/>
  <c r="G110" i="23"/>
  <c r="F110" i="23" s="1"/>
  <c r="P88" i="23"/>
  <c r="L98" i="23"/>
  <c r="P39" i="23"/>
  <c r="M39" i="23"/>
  <c r="T39" i="23"/>
  <c r="M29" i="23"/>
  <c r="M21" i="23"/>
  <c r="Q25" i="23"/>
  <c r="O28" i="23"/>
  <c r="O49" i="23"/>
  <c r="P55" i="23"/>
  <c r="S57" i="23"/>
  <c r="N86" i="23"/>
  <c r="P86" i="23" s="1"/>
  <c r="S12" i="23"/>
  <c r="S15" i="23"/>
  <c r="M20" i="23"/>
  <c r="P21" i="23"/>
  <c r="L25" i="23"/>
  <c r="E24" i="23"/>
  <c r="N24" i="23" s="1"/>
  <c r="P28" i="23"/>
  <c r="O29" i="23"/>
  <c r="Q43" i="23"/>
  <c r="O13" i="23"/>
  <c r="T15" i="23"/>
  <c r="L19" i="23"/>
  <c r="Q20" i="23"/>
  <c r="T21" i="23"/>
  <c r="M25" i="23"/>
  <c r="S29" i="23"/>
  <c r="O31" i="23"/>
  <c r="L32" i="23"/>
  <c r="O33" i="23"/>
  <c r="P36" i="23"/>
  <c r="S37" i="23"/>
  <c r="T42" i="23"/>
  <c r="O45" i="23"/>
  <c r="T49" i="23"/>
  <c r="N61" i="23"/>
  <c r="N75" i="23" s="1"/>
  <c r="L74" i="23"/>
  <c r="S86" i="23"/>
  <c r="R100" i="23"/>
  <c r="M92" i="23"/>
  <c r="O108" i="23"/>
  <c r="T20" i="23"/>
  <c r="L29" i="23"/>
  <c r="O32" i="23"/>
  <c r="P35" i="23"/>
  <c r="L37" i="23"/>
  <c r="M43" i="23"/>
  <c r="O50" i="23"/>
  <c r="P92" i="23"/>
  <c r="Q22" i="23"/>
  <c r="M37" i="23"/>
  <c r="S38" i="23"/>
  <c r="Q40" i="23"/>
  <c r="P50" i="23"/>
  <c r="O55" i="23"/>
  <c r="E73" i="23"/>
  <c r="E69" i="23" s="1"/>
  <c r="E16" i="23"/>
  <c r="N16" i="23" s="1"/>
  <c r="T29" i="23"/>
  <c r="L15" i="23"/>
  <c r="M42" i="23"/>
  <c r="O44" i="23"/>
  <c r="Q9" i="23"/>
  <c r="O12" i="23"/>
  <c r="P29" i="23"/>
  <c r="P37" i="23"/>
  <c r="P43" i="23"/>
  <c r="Q50" i="23"/>
  <c r="Q10" i="23"/>
  <c r="T32" i="23"/>
  <c r="O37" i="23"/>
  <c r="L41" i="23"/>
  <c r="P42" i="23"/>
  <c r="P46" i="23"/>
  <c r="M63" i="23"/>
  <c r="O82" i="23"/>
  <c r="L92" i="23"/>
  <c r="O9" i="23"/>
  <c r="S10" i="23"/>
  <c r="S22" i="23"/>
  <c r="T30" i="23"/>
  <c r="M30" i="23"/>
  <c r="S30" i="23"/>
  <c r="L30" i="23"/>
  <c r="S40" i="23"/>
  <c r="O42" i="23"/>
  <c r="S45" i="23"/>
  <c r="T48" i="23"/>
  <c r="L9" i="23"/>
  <c r="M10" i="23"/>
  <c r="L11" i="23"/>
  <c r="T14" i="23"/>
  <c r="M14" i="23"/>
  <c r="S14" i="23"/>
  <c r="L14" i="23"/>
  <c r="S36" i="23"/>
  <c r="O38" i="23"/>
  <c r="S46" i="23"/>
  <c r="T57" i="23"/>
  <c r="M57" i="23"/>
  <c r="P57" i="23"/>
  <c r="O57" i="23"/>
  <c r="Q62" i="23"/>
  <c r="K110" i="23"/>
  <c r="L7" i="23"/>
  <c r="S7" i="23"/>
  <c r="M9" i="23"/>
  <c r="S9" i="23"/>
  <c r="L13" i="23"/>
  <c r="P18" i="23"/>
  <c r="O18" i="23"/>
  <c r="T18" i="23"/>
  <c r="O19" i="23"/>
  <c r="O21" i="23"/>
  <c r="T28" i="23"/>
  <c r="M28" i="23"/>
  <c r="S28" i="23"/>
  <c r="P30" i="23"/>
  <c r="O34" i="23"/>
  <c r="L36" i="23"/>
  <c r="T36" i="23"/>
  <c r="P38" i="23"/>
  <c r="O40" i="23"/>
  <c r="S43" i="23"/>
  <c r="L46" i="23"/>
  <c r="T46" i="23"/>
  <c r="P48" i="23"/>
  <c r="L57" i="23"/>
  <c r="O64" i="23"/>
  <c r="S64" i="23"/>
  <c r="L64" i="23"/>
  <c r="P64" i="23"/>
  <c r="Q64" i="23"/>
  <c r="T11" i="23"/>
  <c r="S11" i="23"/>
  <c r="T45" i="23"/>
  <c r="M45" i="23"/>
  <c r="S66" i="23"/>
  <c r="O66" i="23"/>
  <c r="Q7" i="23"/>
  <c r="Q12" i="23"/>
  <c r="P12" i="23"/>
  <c r="P20" i="23"/>
  <c r="M22" i="23"/>
  <c r="S24" i="23"/>
  <c r="M24" i="23"/>
  <c r="L24" i="23"/>
  <c r="T27" i="23"/>
  <c r="M27" i="23"/>
  <c r="S27" i="23"/>
  <c r="L27" i="23"/>
  <c r="O30" i="23"/>
  <c r="L39" i="23"/>
  <c r="Q39" i="23"/>
  <c r="P47" i="23"/>
  <c r="M7" i="23"/>
  <c r="T7" i="23"/>
  <c r="T9" i="23"/>
  <c r="O10" i="23"/>
  <c r="O14" i="23"/>
  <c r="L18" i="23"/>
  <c r="P22" i="23"/>
  <c r="T24" i="23"/>
  <c r="O27" i="23"/>
  <c r="L28" i="23"/>
  <c r="Q30" i="23"/>
  <c r="P31" i="23"/>
  <c r="T33" i="23"/>
  <c r="M36" i="23"/>
  <c r="S39" i="23"/>
  <c r="L43" i="23"/>
  <c r="T43" i="23"/>
  <c r="P45" i="23"/>
  <c r="M46" i="23"/>
  <c r="Q48" i="23"/>
  <c r="M64" i="23"/>
  <c r="D73" i="23"/>
  <c r="D69" i="23" s="1"/>
  <c r="R110" i="23"/>
  <c r="R73" i="23"/>
  <c r="R69" i="23" s="1"/>
  <c r="S81" i="23"/>
  <c r="L81" i="23"/>
  <c r="O81" i="23"/>
  <c r="T81" i="23"/>
  <c r="M81" i="23"/>
  <c r="P81" i="23"/>
  <c r="T38" i="23"/>
  <c r="M38" i="23"/>
  <c r="S48" i="23"/>
  <c r="M62" i="23"/>
  <c r="P62" i="23"/>
  <c r="L62" i="23"/>
  <c r="Q86" i="23"/>
  <c r="T86" i="23"/>
  <c r="L86" i="23"/>
  <c r="T87" i="23"/>
  <c r="O87" i="23"/>
  <c r="S87" i="23"/>
  <c r="O90" i="23"/>
  <c r="S90" i="23"/>
  <c r="L90" i="23"/>
  <c r="P90" i="23"/>
  <c r="Q90" i="23"/>
  <c r="P9" i="23"/>
  <c r="L38" i="23"/>
  <c r="L48" i="23"/>
  <c r="O74" i="23"/>
  <c r="M90" i="23"/>
  <c r="L108" i="23"/>
  <c r="S108" i="23"/>
  <c r="O7" i="23"/>
  <c r="Q11" i="23"/>
  <c r="T40" i="23"/>
  <c r="M40" i="23"/>
  <c r="L10" i="23"/>
  <c r="T12" i="23"/>
  <c r="S13" i="23"/>
  <c r="Q15" i="23"/>
  <c r="P15" i="23"/>
  <c r="L22" i="23"/>
  <c r="T22" i="23"/>
  <c r="D24" i="23"/>
  <c r="D52" i="23" s="1"/>
  <c r="O25" i="23"/>
  <c r="Q36" i="23"/>
  <c r="O39" i="23"/>
  <c r="L40" i="23"/>
  <c r="P41" i="23"/>
  <c r="O41" i="23"/>
  <c r="T41" i="23"/>
  <c r="L45" i="23"/>
  <c r="Q46" i="23"/>
  <c r="M48" i="23"/>
  <c r="S58" i="23"/>
  <c r="T58" i="23"/>
  <c r="O62" i="23"/>
  <c r="L66" i="23"/>
  <c r="T82" i="23"/>
  <c r="L82" i="23"/>
  <c r="M86" i="23"/>
  <c r="O20" i="23"/>
  <c r="Q21" i="23"/>
  <c r="Q26" i="23"/>
  <c r="S35" i="23"/>
  <c r="Q42" i="23"/>
  <c r="Q44" i="23"/>
  <c r="L51" i="23"/>
  <c r="P51" i="23"/>
  <c r="P84" i="23"/>
  <c r="T85" i="23"/>
  <c r="L85" i="23"/>
  <c r="P85" i="23"/>
  <c r="S89" i="23"/>
  <c r="L89" i="23"/>
  <c r="O89" i="23"/>
  <c r="T89" i="23"/>
  <c r="M89" i="23"/>
  <c r="P11" i="23"/>
  <c r="L21" i="23"/>
  <c r="L26" i="23"/>
  <c r="L35" i="23"/>
  <c r="L42" i="23"/>
  <c r="L44" i="23"/>
  <c r="Q88" i="23"/>
  <c r="O88" i="23"/>
  <c r="L50" i="23"/>
  <c r="L55" i="23"/>
  <c r="S55" i="23"/>
  <c r="L63" i="23"/>
  <c r="S63" i="23"/>
  <c r="Q84" i="23"/>
  <c r="O92" i="23"/>
  <c r="M84" i="23"/>
  <c r="T84" i="23"/>
  <c r="I9" i="22"/>
  <c r="J9" i="22"/>
  <c r="P9" i="22"/>
  <c r="K77" i="23" l="1"/>
  <c r="S107" i="23"/>
  <c r="O107" i="23"/>
  <c r="N73" i="23"/>
  <c r="F91" i="23"/>
  <c r="S91" i="23" s="1"/>
  <c r="Q97" i="23"/>
  <c r="T80" i="23"/>
  <c r="Q80" i="23"/>
  <c r="M80" i="23"/>
  <c r="R109" i="23"/>
  <c r="R106" i="23" s="1"/>
  <c r="T61" i="23"/>
  <c r="O24" i="23"/>
  <c r="G73" i="23"/>
  <c r="F73" i="23" s="1"/>
  <c r="F75" i="23"/>
  <c r="M75" i="23" s="1"/>
  <c r="E109" i="23"/>
  <c r="E106" i="23" s="1"/>
  <c r="F95" i="23"/>
  <c r="S95" i="23" s="1"/>
  <c r="F96" i="23"/>
  <c r="S96" i="23" s="1"/>
  <c r="R5" i="23"/>
  <c r="S5" i="23" s="1"/>
  <c r="T5" i="23" s="1"/>
  <c r="P80" i="23"/>
  <c r="F16" i="23"/>
  <c r="S16" i="23" s="1"/>
  <c r="K111" i="23"/>
  <c r="K109" i="23" s="1"/>
  <c r="K106" i="23" s="1"/>
  <c r="O86" i="23"/>
  <c r="Q61" i="23"/>
  <c r="M61" i="23"/>
  <c r="R53" i="23"/>
  <c r="R103" i="23" s="1"/>
  <c r="L61" i="23"/>
  <c r="S80" i="23"/>
  <c r="L80" i="23"/>
  <c r="G52" i="23"/>
  <c r="O11" i="23"/>
  <c r="Q24" i="23"/>
  <c r="O97" i="23"/>
  <c r="L97" i="23"/>
  <c r="M97" i="23"/>
  <c r="N52" i="23"/>
  <c r="P24" i="23"/>
  <c r="S97" i="23"/>
  <c r="K78" i="23"/>
  <c r="P61" i="23"/>
  <c r="O61" i="23"/>
  <c r="P74" i="23"/>
  <c r="K102" i="23"/>
  <c r="K103" i="23" s="1"/>
  <c r="M74" i="23"/>
  <c r="R102" i="23"/>
  <c r="E52" i="23"/>
  <c r="S74" i="23"/>
  <c r="Q74" i="23"/>
  <c r="T74" i="23"/>
  <c r="K53" i="23"/>
  <c r="D53" i="23"/>
  <c r="D102" i="23"/>
  <c r="O110" i="23"/>
  <c r="L110" i="23"/>
  <c r="P110" i="23"/>
  <c r="Q110" i="23"/>
  <c r="T110" i="23"/>
  <c r="S110" i="23"/>
  <c r="M110" i="23"/>
  <c r="N111" i="23"/>
  <c r="N109" i="23" s="1"/>
  <c r="N106" i="23" s="1"/>
  <c r="N69" i="23"/>
  <c r="S111" i="23"/>
  <c r="T111" i="23"/>
  <c r="Q111" i="23"/>
  <c r="P26" i="23"/>
  <c r="O26" i="23"/>
  <c r="R77" i="23"/>
  <c r="G109" i="23"/>
  <c r="G106" i="23" s="1"/>
  <c r="T17" i="23"/>
  <c r="S17" i="23"/>
  <c r="M17" i="23"/>
  <c r="Q17" i="23"/>
  <c r="L17" i="23"/>
  <c r="O17" i="23"/>
  <c r="P17" i="23"/>
  <c r="D77" i="23"/>
  <c r="F109" i="23" l="1"/>
  <c r="T91" i="23"/>
  <c r="M91" i="23"/>
  <c r="P91" i="23"/>
  <c r="O91" i="23"/>
  <c r="M100" i="23"/>
  <c r="G69" i="23"/>
  <c r="F69" i="23" s="1"/>
  <c r="L91" i="23"/>
  <c r="P96" i="23"/>
  <c r="Q91" i="23"/>
  <c r="O96" i="23"/>
  <c r="R114" i="23"/>
  <c r="L96" i="23"/>
  <c r="Q96" i="23"/>
  <c r="O95" i="23"/>
  <c r="M96" i="23"/>
  <c r="O75" i="23"/>
  <c r="L75" i="23"/>
  <c r="P75" i="23"/>
  <c r="O16" i="23"/>
  <c r="M111" i="23"/>
  <c r="L95" i="23"/>
  <c r="Q95" i="23"/>
  <c r="Q75" i="23"/>
  <c r="T75" i="23"/>
  <c r="S75" i="23"/>
  <c r="P95" i="23"/>
  <c r="M95" i="23"/>
  <c r="T16" i="23"/>
  <c r="P16" i="23"/>
  <c r="E77" i="23"/>
  <c r="E78" i="23" s="1"/>
  <c r="M16" i="23"/>
  <c r="Q16" i="23"/>
  <c r="L16" i="23"/>
  <c r="F52" i="23"/>
  <c r="L52" i="23" s="1"/>
  <c r="L111" i="23"/>
  <c r="D114" i="23"/>
  <c r="D115" i="23" s="1"/>
  <c r="D103" i="23"/>
  <c r="K114" i="23"/>
  <c r="K115" i="23" s="1"/>
  <c r="R78" i="23"/>
  <c r="R115" i="23" s="1"/>
  <c r="G102" i="23"/>
  <c r="F102" i="23" s="1"/>
  <c r="G53" i="23"/>
  <c r="N102" i="23"/>
  <c r="N77" i="23"/>
  <c r="N78" i="23" s="1"/>
  <c r="N53" i="23"/>
  <c r="E102" i="23"/>
  <c r="P111" i="23"/>
  <c r="E53" i="23"/>
  <c r="F106" i="23"/>
  <c r="D78" i="23"/>
  <c r="O73" i="23"/>
  <c r="L73" i="23"/>
  <c r="P73" i="23"/>
  <c r="M73" i="23"/>
  <c r="Q73" i="23"/>
  <c r="S73" i="23"/>
  <c r="T73" i="23"/>
  <c r="O111" i="23"/>
  <c r="G77" i="23" l="1"/>
  <c r="F77" i="23" s="1"/>
  <c r="Q100" i="23"/>
  <c r="L100" i="23"/>
  <c r="O100" i="23"/>
  <c r="S100" i="23"/>
  <c r="T100" i="23"/>
  <c r="P100" i="23"/>
  <c r="Q52" i="23"/>
  <c r="O52" i="23"/>
  <c r="T52" i="23"/>
  <c r="P52" i="23"/>
  <c r="M52" i="23"/>
  <c r="F53" i="23"/>
  <c r="M53" i="23" s="1"/>
  <c r="S52" i="23"/>
  <c r="E114" i="23"/>
  <c r="E103" i="23"/>
  <c r="G103" i="23"/>
  <c r="F103" i="23" s="1"/>
  <c r="P102" i="23"/>
  <c r="N103" i="23"/>
  <c r="N114" i="23"/>
  <c r="N115" i="23" s="1"/>
  <c r="Q102" i="23"/>
  <c r="G114" i="23"/>
  <c r="F114" i="23" s="1"/>
  <c r="O69" i="23"/>
  <c r="L69" i="23"/>
  <c r="P69" i="23"/>
  <c r="T69" i="23"/>
  <c r="S69" i="23"/>
  <c r="Q69" i="23"/>
  <c r="M69" i="23"/>
  <c r="Q109" i="23"/>
  <c r="T109" i="23"/>
  <c r="L109" i="23"/>
  <c r="S109" i="23"/>
  <c r="M109" i="23"/>
  <c r="P109" i="23"/>
  <c r="O109" i="23"/>
  <c r="G78" i="23" l="1"/>
  <c r="F78" i="23" s="1"/>
  <c r="O78" i="23" s="1"/>
  <c r="T53" i="23"/>
  <c r="E115" i="23"/>
  <c r="S53" i="23"/>
  <c r="P53" i="23"/>
  <c r="L53" i="23"/>
  <c r="Q53" i="23"/>
  <c r="O53" i="23"/>
  <c r="L102" i="23"/>
  <c r="S102" i="23"/>
  <c r="M102" i="23"/>
  <c r="T102" i="23"/>
  <c r="Q103" i="23"/>
  <c r="M103" i="23"/>
  <c r="L103" i="23"/>
  <c r="T103" i="23"/>
  <c r="S103" i="23"/>
  <c r="O102" i="23"/>
  <c r="O103" i="23"/>
  <c r="P103" i="23"/>
  <c r="S114" i="23"/>
  <c r="G115" i="23"/>
  <c r="F115" i="23" s="1"/>
  <c r="O77" i="23"/>
  <c r="L77" i="23"/>
  <c r="P77" i="23"/>
  <c r="M77" i="23"/>
  <c r="Q77" i="23"/>
  <c r="T77" i="23"/>
  <c r="S77" i="23"/>
  <c r="L78" i="23"/>
  <c r="O106" i="23"/>
  <c r="L106" i="23"/>
  <c r="P106" i="23"/>
  <c r="Q106" i="23"/>
  <c r="T106" i="23"/>
  <c r="M106" i="23"/>
  <c r="S106" i="23"/>
  <c r="P78" i="23" l="1"/>
  <c r="T78" i="23"/>
  <c r="Q78" i="23"/>
  <c r="M78" i="23"/>
  <c r="S78" i="23"/>
  <c r="T114" i="23"/>
  <c r="O114" i="23"/>
  <c r="Q114" i="23"/>
  <c r="M114" i="23"/>
  <c r="P114" i="23"/>
  <c r="L114" i="23"/>
  <c r="O115" i="23"/>
  <c r="T115" i="23"/>
  <c r="P115" i="23"/>
  <c r="S115" i="23"/>
  <c r="M115" i="23"/>
  <c r="L115" i="23"/>
  <c r="Q115" i="23"/>
  <c r="E92" i="22" l="1"/>
  <c r="N111" i="22"/>
  <c r="M111" i="22"/>
  <c r="L111" i="22"/>
  <c r="N110" i="22"/>
  <c r="N109" i="22"/>
  <c r="L91" i="22"/>
  <c r="N90" i="22"/>
  <c r="N89" i="22"/>
  <c r="N87" i="22"/>
  <c r="N86" i="22"/>
  <c r="M86" i="22"/>
  <c r="L86" i="22"/>
  <c r="N80" i="22"/>
  <c r="M80" i="22"/>
  <c r="L80" i="22"/>
  <c r="N68" i="22"/>
  <c r="M68" i="22"/>
  <c r="L68" i="22"/>
  <c r="N67" i="22"/>
  <c r="M67" i="22"/>
  <c r="L67" i="22"/>
  <c r="N66" i="22"/>
  <c r="M66" i="22"/>
  <c r="L66" i="22"/>
  <c r="N61" i="22"/>
  <c r="L61" i="22"/>
  <c r="N60" i="22"/>
  <c r="M60" i="22"/>
  <c r="L60" i="22"/>
  <c r="N59" i="22"/>
  <c r="M59" i="22"/>
  <c r="L59" i="22"/>
  <c r="N58" i="22"/>
  <c r="M58" i="22"/>
  <c r="L58" i="22"/>
  <c r="N57" i="22"/>
  <c r="M57" i="22"/>
  <c r="L57" i="22"/>
  <c r="L56" i="22"/>
  <c r="N55" i="22"/>
  <c r="M55" i="22"/>
  <c r="L55" i="22"/>
  <c r="N54" i="22"/>
  <c r="M54" i="22"/>
  <c r="L54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7" i="22"/>
  <c r="M7" i="22"/>
  <c r="L7" i="22"/>
  <c r="J111" i="22"/>
  <c r="I111" i="22"/>
  <c r="I91" i="22"/>
  <c r="I89" i="22"/>
  <c r="J87" i="22"/>
  <c r="I87" i="22"/>
  <c r="J86" i="22"/>
  <c r="I86" i="22"/>
  <c r="I80" i="22"/>
  <c r="J68" i="22"/>
  <c r="I68" i="22"/>
  <c r="J67" i="22"/>
  <c r="I67" i="22"/>
  <c r="J66" i="22"/>
  <c r="I66" i="22"/>
  <c r="I61" i="22"/>
  <c r="J60" i="22"/>
  <c r="I60" i="22"/>
  <c r="J59" i="22"/>
  <c r="I59" i="22"/>
  <c r="J58" i="22"/>
  <c r="I58" i="22"/>
  <c r="J57" i="22"/>
  <c r="I57" i="22"/>
  <c r="I56" i="22"/>
  <c r="J55" i="22"/>
  <c r="I55" i="22"/>
  <c r="J54" i="22"/>
  <c r="I54" i="22"/>
  <c r="J52" i="22"/>
  <c r="I52" i="22"/>
  <c r="I51" i="22"/>
  <c r="I50" i="22"/>
  <c r="J49" i="22"/>
  <c r="I49" i="22"/>
  <c r="J48" i="22"/>
  <c r="I48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I35" i="22"/>
  <c r="J34" i="22"/>
  <c r="I34" i="22"/>
  <c r="I33" i="22"/>
  <c r="I32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I15" i="22"/>
  <c r="J14" i="22"/>
  <c r="I14" i="22"/>
  <c r="I13" i="22"/>
  <c r="I12" i="22"/>
  <c r="J11" i="22"/>
  <c r="I11" i="22"/>
  <c r="J10" i="22"/>
  <c r="I10" i="22"/>
  <c r="J7" i="22"/>
  <c r="I7" i="22"/>
  <c r="G57" i="22"/>
  <c r="H57" i="22"/>
  <c r="K57" i="22" s="1"/>
  <c r="F56" i="22"/>
  <c r="Q56" i="22" s="1"/>
  <c r="H39" i="22"/>
  <c r="H24" i="22"/>
  <c r="H20" i="22"/>
  <c r="H17" i="22"/>
  <c r="H11" i="22"/>
  <c r="H78" i="22"/>
  <c r="H73" i="22"/>
  <c r="H83" i="22" s="1"/>
  <c r="H67" i="22"/>
  <c r="H110" i="22" s="1"/>
  <c r="I110" i="22" s="1"/>
  <c r="K108" i="22"/>
  <c r="K107" i="22"/>
  <c r="H108" i="22"/>
  <c r="H107" i="22"/>
  <c r="H92" i="22"/>
  <c r="H90" i="22"/>
  <c r="H89" i="22" s="1"/>
  <c r="K87" i="22"/>
  <c r="K92" i="22" s="1"/>
  <c r="K86" i="22"/>
  <c r="K90" i="22" s="1"/>
  <c r="K85" i="22"/>
  <c r="K83" i="22"/>
  <c r="K78" i="22"/>
  <c r="K82" i="22"/>
  <c r="K81" i="22"/>
  <c r="K80" i="22"/>
  <c r="K79" i="22"/>
  <c r="K77" i="22"/>
  <c r="K76" i="22"/>
  <c r="K73" i="22"/>
  <c r="K67" i="22"/>
  <c r="K61" i="22"/>
  <c r="K60" i="22"/>
  <c r="K59" i="22"/>
  <c r="K58" i="22"/>
  <c r="K56" i="22"/>
  <c r="K55" i="22"/>
  <c r="K54" i="22"/>
  <c r="K51" i="22"/>
  <c r="M51" i="22" s="1"/>
  <c r="K50" i="22"/>
  <c r="M50" i="22" s="1"/>
  <c r="K49" i="22"/>
  <c r="M49" i="22" s="1"/>
  <c r="K48" i="22"/>
  <c r="M48" i="22" s="1"/>
  <c r="K47" i="22"/>
  <c r="M47" i="22" s="1"/>
  <c r="K46" i="22"/>
  <c r="M46" i="22" s="1"/>
  <c r="K45" i="22"/>
  <c r="M45" i="22" s="1"/>
  <c r="K44" i="22"/>
  <c r="M44" i="22" s="1"/>
  <c r="K43" i="22"/>
  <c r="M43" i="22" s="1"/>
  <c r="K42" i="22"/>
  <c r="M42" i="22" s="1"/>
  <c r="K41" i="22"/>
  <c r="M41" i="22" s="1"/>
  <c r="K40" i="22"/>
  <c r="M40" i="22" s="1"/>
  <c r="K39" i="22"/>
  <c r="M39" i="22" s="1"/>
  <c r="K38" i="22"/>
  <c r="M38" i="22" s="1"/>
  <c r="K37" i="22"/>
  <c r="M37" i="22" s="1"/>
  <c r="K36" i="22"/>
  <c r="M36" i="22" s="1"/>
  <c r="K35" i="22"/>
  <c r="M35" i="22" s="1"/>
  <c r="K34" i="22"/>
  <c r="M34" i="22" s="1"/>
  <c r="K33" i="22"/>
  <c r="M33" i="22" s="1"/>
  <c r="K32" i="22"/>
  <c r="M32" i="22" s="1"/>
  <c r="K31" i="22"/>
  <c r="M31" i="22" s="1"/>
  <c r="K30" i="22"/>
  <c r="M30" i="22" s="1"/>
  <c r="K29" i="22"/>
  <c r="M29" i="22" s="1"/>
  <c r="K28" i="22"/>
  <c r="M28" i="22" s="1"/>
  <c r="K27" i="22"/>
  <c r="M27" i="22" s="1"/>
  <c r="K26" i="22"/>
  <c r="M26" i="22" s="1"/>
  <c r="K25" i="22"/>
  <c r="M25" i="22" s="1"/>
  <c r="K24" i="22"/>
  <c r="M24" i="22" s="1"/>
  <c r="K23" i="22"/>
  <c r="M23" i="22" s="1"/>
  <c r="K22" i="22"/>
  <c r="M22" i="22" s="1"/>
  <c r="K21" i="22"/>
  <c r="M21" i="22" s="1"/>
  <c r="K20" i="22"/>
  <c r="M20" i="22" s="1"/>
  <c r="K19" i="22"/>
  <c r="M19" i="22" s="1"/>
  <c r="K18" i="22"/>
  <c r="M18" i="22" s="1"/>
  <c r="K17" i="22"/>
  <c r="M17" i="22" s="1"/>
  <c r="K16" i="22"/>
  <c r="M16" i="22" s="1"/>
  <c r="K15" i="22"/>
  <c r="M15" i="22" s="1"/>
  <c r="K14" i="22"/>
  <c r="M14" i="22" s="1"/>
  <c r="K13" i="22"/>
  <c r="M13" i="22" s="1"/>
  <c r="K12" i="22"/>
  <c r="M12" i="22" s="1"/>
  <c r="K11" i="22"/>
  <c r="M11" i="22" s="1"/>
  <c r="K10" i="22"/>
  <c r="M10" i="22" s="1"/>
  <c r="K7" i="22"/>
  <c r="I5" i="22"/>
  <c r="J5" i="22" s="1"/>
  <c r="K5" i="22" s="1"/>
  <c r="L5" i="22" s="1"/>
  <c r="M5" i="22" s="1"/>
  <c r="N5" i="22" s="1"/>
  <c r="O5" i="22" s="1"/>
  <c r="P5" i="22" s="1"/>
  <c r="Q5" i="22" s="1"/>
  <c r="H5" i="22"/>
  <c r="G67" i="22"/>
  <c r="P56" i="22"/>
  <c r="L10" i="22" l="1"/>
  <c r="L12" i="22"/>
  <c r="L14" i="22"/>
  <c r="L16" i="22"/>
  <c r="L18" i="22"/>
  <c r="L20" i="22"/>
  <c r="L22" i="22"/>
  <c r="L24" i="22"/>
  <c r="L26" i="22"/>
  <c r="L28" i="22"/>
  <c r="L30" i="22"/>
  <c r="L32" i="22"/>
  <c r="L34" i="22"/>
  <c r="L36" i="22"/>
  <c r="L38" i="22"/>
  <c r="L40" i="22"/>
  <c r="L42" i="22"/>
  <c r="L44" i="22"/>
  <c r="L46" i="22"/>
  <c r="L48" i="22"/>
  <c r="L50" i="22"/>
  <c r="K52" i="22"/>
  <c r="L11" i="22"/>
  <c r="L13" i="22"/>
  <c r="L15" i="22"/>
  <c r="L17" i="22"/>
  <c r="L19" i="22"/>
  <c r="L21" i="22"/>
  <c r="L23" i="22"/>
  <c r="L25" i="22"/>
  <c r="L27" i="22"/>
  <c r="L29" i="22"/>
  <c r="L31" i="22"/>
  <c r="L33" i="22"/>
  <c r="L35" i="22"/>
  <c r="L37" i="22"/>
  <c r="L39" i="22"/>
  <c r="L41" i="22"/>
  <c r="L43" i="22"/>
  <c r="L45" i="22"/>
  <c r="L47" i="22"/>
  <c r="L49" i="22"/>
  <c r="L51" i="22"/>
  <c r="L87" i="22"/>
  <c r="M87" i="22"/>
  <c r="H88" i="22"/>
  <c r="M90" i="22"/>
  <c r="L90" i="22"/>
  <c r="K89" i="22"/>
  <c r="J89" i="22"/>
  <c r="K110" i="22"/>
  <c r="K88" i="22"/>
  <c r="I90" i="22"/>
  <c r="J90" i="22"/>
  <c r="J110" i="22"/>
  <c r="H85" i="22"/>
  <c r="H68" i="22"/>
  <c r="H111" i="22" s="1"/>
  <c r="H109" i="22" s="1"/>
  <c r="K68" i="22"/>
  <c r="K111" i="22" s="1"/>
  <c r="K109" i="22" s="1"/>
  <c r="H16" i="22"/>
  <c r="H52" i="22" s="1"/>
  <c r="H98" i="22" s="1"/>
  <c r="K129" i="22" l="1"/>
  <c r="K53" i="22"/>
  <c r="K100" i="22"/>
  <c r="K102" i="22" s="1"/>
  <c r="K98" i="22"/>
  <c r="K113" i="22" s="1"/>
  <c r="M52" i="22"/>
  <c r="L52" i="22"/>
  <c r="H94" i="22"/>
  <c r="K94" i="22"/>
  <c r="K96" i="22" s="1"/>
  <c r="M109" i="22"/>
  <c r="L109" i="22"/>
  <c r="H113" i="22"/>
  <c r="J109" i="22"/>
  <c r="I109" i="22"/>
  <c r="M110" i="22"/>
  <c r="L110" i="22"/>
  <c r="M89" i="22"/>
  <c r="L89" i="22"/>
  <c r="H96" i="22"/>
  <c r="H66" i="22"/>
  <c r="H62" i="22" s="1"/>
  <c r="H70" i="22" s="1"/>
  <c r="K66" i="22"/>
  <c r="K62" i="22" s="1"/>
  <c r="K70" i="22" s="1"/>
  <c r="H100" i="22"/>
  <c r="M53" i="22" l="1"/>
  <c r="L53" i="22"/>
  <c r="K115" i="22"/>
  <c r="H102" i="22"/>
  <c r="H115" i="22"/>
  <c r="F92" i="22" l="1"/>
  <c r="D92" i="22"/>
  <c r="F87" i="22"/>
  <c r="P92" i="22" l="1"/>
  <c r="N92" i="22"/>
  <c r="J92" i="22"/>
  <c r="M92" i="22"/>
  <c r="L92" i="22"/>
  <c r="I92" i="22"/>
  <c r="E78" i="22" l="1"/>
  <c r="E73" i="22"/>
  <c r="E83" i="22" s="1"/>
  <c r="A77" i="22"/>
  <c r="E57" i="22"/>
  <c r="E68" i="22" s="1"/>
  <c r="E67" i="22"/>
  <c r="D57" i="22"/>
  <c r="D68" i="22" s="1"/>
  <c r="A55" i="22"/>
  <c r="E39" i="22"/>
  <c r="E27" i="22"/>
  <c r="E26" i="22"/>
  <c r="E25" i="22"/>
  <c r="E20" i="22"/>
  <c r="E17" i="22"/>
  <c r="E11" i="22"/>
  <c r="D27" i="22"/>
  <c r="D26" i="22"/>
  <c r="D25" i="22"/>
  <c r="E66" i="22" l="1"/>
  <c r="E16" i="22"/>
  <c r="E24" i="22"/>
  <c r="O78" i="22" l="1"/>
  <c r="O57" i="22"/>
  <c r="O68" i="22" s="1"/>
  <c r="G68" i="22" l="1"/>
  <c r="G66" i="22" s="1"/>
  <c r="F61" i="22"/>
  <c r="P61" i="22" l="1"/>
  <c r="O20" i="22" l="1"/>
  <c r="D17" i="22" l="1"/>
  <c r="O17" i="22"/>
  <c r="O16" i="22" s="1"/>
  <c r="G17" i="22"/>
  <c r="F17" i="22" l="1"/>
  <c r="Q17" i="22" l="1"/>
  <c r="P17" i="22"/>
  <c r="F7" i="22" l="1"/>
  <c r="T7" i="22"/>
  <c r="U7" i="22"/>
  <c r="A10" i="22"/>
  <c r="F10" i="22"/>
  <c r="T10" i="22"/>
  <c r="U10" i="22" s="1"/>
  <c r="D11" i="22"/>
  <c r="G11" i="22"/>
  <c r="O11" i="22"/>
  <c r="F12" i="22"/>
  <c r="F13" i="22"/>
  <c r="F14" i="22"/>
  <c r="F15" i="22"/>
  <c r="F18" i="22"/>
  <c r="R18" i="22"/>
  <c r="F19" i="22"/>
  <c r="D20" i="22"/>
  <c r="D16" i="22" s="1"/>
  <c r="G20" i="22"/>
  <c r="G16" i="22" s="1"/>
  <c r="F21" i="22"/>
  <c r="F22" i="22"/>
  <c r="F23" i="22"/>
  <c r="D24" i="22"/>
  <c r="G24" i="22"/>
  <c r="O24" i="22"/>
  <c r="R24" i="22"/>
  <c r="F25" i="22"/>
  <c r="F26" i="22"/>
  <c r="F27" i="22"/>
  <c r="F28" i="22"/>
  <c r="F29" i="22"/>
  <c r="F30" i="22"/>
  <c r="A31" i="22"/>
  <c r="A32" i="22" s="1"/>
  <c r="A33" i="22" s="1"/>
  <c r="A34" i="22" s="1"/>
  <c r="A35" i="22" s="1"/>
  <c r="A36" i="22" s="1"/>
  <c r="F31" i="22"/>
  <c r="F32" i="22"/>
  <c r="F33" i="22"/>
  <c r="F34" i="22"/>
  <c r="F35" i="22"/>
  <c r="F36" i="22"/>
  <c r="F38" i="22"/>
  <c r="D39" i="22"/>
  <c r="G39" i="22"/>
  <c r="O39" i="22"/>
  <c r="F40" i="22"/>
  <c r="F41" i="22"/>
  <c r="F42" i="22"/>
  <c r="F43" i="22"/>
  <c r="F44" i="22"/>
  <c r="A45" i="22"/>
  <c r="A46" i="22" s="1"/>
  <c r="A47" i="22" s="1"/>
  <c r="A48" i="22" s="1"/>
  <c r="A49" i="22" s="1"/>
  <c r="A50" i="22" s="1"/>
  <c r="A51" i="22" s="1"/>
  <c r="F45" i="22"/>
  <c r="F46" i="22"/>
  <c r="F47" i="22"/>
  <c r="F48" i="22"/>
  <c r="F49" i="22"/>
  <c r="F50" i="22"/>
  <c r="F51" i="22"/>
  <c r="V52" i="22"/>
  <c r="F54" i="22"/>
  <c r="F55" i="22"/>
  <c r="D111" i="22"/>
  <c r="E111" i="22"/>
  <c r="O111" i="22"/>
  <c r="F58" i="22"/>
  <c r="F59" i="22"/>
  <c r="F60" i="22"/>
  <c r="D107" i="22"/>
  <c r="E107" i="22"/>
  <c r="G107" i="22"/>
  <c r="D108" i="22"/>
  <c r="O108" i="22"/>
  <c r="D67" i="22"/>
  <c r="O67" i="22"/>
  <c r="O66" i="22" s="1"/>
  <c r="D73" i="22"/>
  <c r="D83" i="22" s="1"/>
  <c r="G73" i="22"/>
  <c r="G83" i="22" s="1"/>
  <c r="O73" i="22"/>
  <c r="O83" i="22" s="1"/>
  <c r="F74" i="22"/>
  <c r="F75" i="22"/>
  <c r="F76" i="22"/>
  <c r="A78" i="22"/>
  <c r="F77" i="22"/>
  <c r="D78" i="22"/>
  <c r="G78" i="22"/>
  <c r="F79" i="22"/>
  <c r="F80" i="22"/>
  <c r="F81" i="22"/>
  <c r="F82" i="22"/>
  <c r="F86" i="22"/>
  <c r="D90" i="22"/>
  <c r="D89" i="22" s="1"/>
  <c r="D88" i="22" s="1"/>
  <c r="E90" i="22"/>
  <c r="E89" i="22" s="1"/>
  <c r="E88" i="22" s="1"/>
  <c r="G90" i="22"/>
  <c r="G89" i="22" s="1"/>
  <c r="G88" i="22" s="1"/>
  <c r="O90" i="22"/>
  <c r="O89" i="22" s="1"/>
  <c r="O88" i="22" s="1"/>
  <c r="F91" i="22"/>
  <c r="F104" i="22"/>
  <c r="O107" i="22"/>
  <c r="F37" i="22"/>
  <c r="N82" i="22" l="1"/>
  <c r="M82" i="22"/>
  <c r="L82" i="22"/>
  <c r="J82" i="22"/>
  <c r="I82" i="22"/>
  <c r="J81" i="22"/>
  <c r="M81" i="22"/>
  <c r="I81" i="22"/>
  <c r="N81" i="22"/>
  <c r="L81" i="22"/>
  <c r="I79" i="22"/>
  <c r="L79" i="22"/>
  <c r="I77" i="22"/>
  <c r="N77" i="22"/>
  <c r="M77" i="22"/>
  <c r="L77" i="22"/>
  <c r="L76" i="22"/>
  <c r="N76" i="22"/>
  <c r="M76" i="22"/>
  <c r="J76" i="22"/>
  <c r="I76" i="22"/>
  <c r="L75" i="22"/>
  <c r="I75" i="22"/>
  <c r="N74" i="22"/>
  <c r="J74" i="22"/>
  <c r="M74" i="22"/>
  <c r="I74" i="22"/>
  <c r="L74" i="22"/>
  <c r="L104" i="22"/>
  <c r="I104" i="22"/>
  <c r="G94" i="22"/>
  <c r="F94" i="22" s="1"/>
  <c r="O94" i="22"/>
  <c r="P59" i="22"/>
  <c r="Q41" i="22"/>
  <c r="R41" i="22" s="1"/>
  <c r="Q45" i="22"/>
  <c r="R45" i="22" s="1"/>
  <c r="P42" i="22"/>
  <c r="D52" i="22"/>
  <c r="D98" i="22" s="1"/>
  <c r="P47" i="22"/>
  <c r="Q104" i="22"/>
  <c r="Q32" i="22"/>
  <c r="P18" i="22"/>
  <c r="P46" i="22"/>
  <c r="Q46" i="22"/>
  <c r="D110" i="22"/>
  <c r="D109" i="22" s="1"/>
  <c r="G110" i="22"/>
  <c r="Q21" i="22"/>
  <c r="T29" i="22"/>
  <c r="O52" i="22"/>
  <c r="T50" i="22" s="1"/>
  <c r="Q81" i="22"/>
  <c r="P35" i="22"/>
  <c r="P33" i="22"/>
  <c r="Q29" i="22"/>
  <c r="P29" i="22"/>
  <c r="F20" i="22"/>
  <c r="F11" i="22"/>
  <c r="O62" i="22"/>
  <c r="Q55" i="22"/>
  <c r="Q35" i="22"/>
  <c r="P32" i="22"/>
  <c r="F24" i="22"/>
  <c r="Q19" i="22"/>
  <c r="P19" i="22"/>
  <c r="P14" i="22"/>
  <c r="Q15" i="22"/>
  <c r="P15" i="22"/>
  <c r="Q22" i="22"/>
  <c r="P21" i="22"/>
  <c r="P22" i="22"/>
  <c r="Q7" i="22"/>
  <c r="Q34" i="22"/>
  <c r="R34" i="22" s="1"/>
  <c r="P23" i="22"/>
  <c r="P7" i="22"/>
  <c r="P34" i="22"/>
  <c r="P28" i="22"/>
  <c r="Q26" i="22"/>
  <c r="P31" i="22"/>
  <c r="P26" i="22"/>
  <c r="Q18" i="22"/>
  <c r="P10" i="22"/>
  <c r="F65" i="22"/>
  <c r="L65" i="22" s="1"/>
  <c r="Q36" i="22"/>
  <c r="Q30" i="22"/>
  <c r="R30" i="22" s="1"/>
  <c r="Q27" i="22"/>
  <c r="R27" i="22" s="1"/>
  <c r="Q25" i="22"/>
  <c r="F16" i="22"/>
  <c r="Q12" i="22"/>
  <c r="S24" i="22"/>
  <c r="T27" i="22"/>
  <c r="P13" i="22"/>
  <c r="P36" i="22"/>
  <c r="Q33" i="22"/>
  <c r="Q31" i="22"/>
  <c r="P30" i="22"/>
  <c r="Q28" i="22"/>
  <c r="P27" i="22"/>
  <c r="P25" i="22"/>
  <c r="S18" i="22"/>
  <c r="Q14" i="22"/>
  <c r="P12" i="22"/>
  <c r="P81" i="22"/>
  <c r="F73" i="22"/>
  <c r="P55" i="22"/>
  <c r="P40" i="22"/>
  <c r="P44" i="22"/>
  <c r="F78" i="22"/>
  <c r="Q49" i="22"/>
  <c r="P49" i="22"/>
  <c r="P51" i="22"/>
  <c r="Q38" i="22"/>
  <c r="Q42" i="22"/>
  <c r="D94" i="22"/>
  <c r="D96" i="22" s="1"/>
  <c r="E62" i="22"/>
  <c r="P74" i="22"/>
  <c r="Q76" i="22"/>
  <c r="P45" i="22"/>
  <c r="G108" i="22"/>
  <c r="F108" i="22" s="1"/>
  <c r="Q44" i="22"/>
  <c r="Q40" i="22"/>
  <c r="R40" i="22" s="1"/>
  <c r="Q74" i="22"/>
  <c r="F64" i="22"/>
  <c r="L64" i="22" s="1"/>
  <c r="F88" i="22"/>
  <c r="P50" i="22"/>
  <c r="O110" i="22"/>
  <c r="O109" i="22" s="1"/>
  <c r="Q79" i="22"/>
  <c r="P80" i="22"/>
  <c r="P76" i="22"/>
  <c r="F90" i="22"/>
  <c r="P79" i="22"/>
  <c r="F57" i="22"/>
  <c r="F39" i="22"/>
  <c r="P91" i="22"/>
  <c r="O85" i="22"/>
  <c r="E110" i="22"/>
  <c r="E109" i="22" s="1"/>
  <c r="P60" i="22"/>
  <c r="P58" i="22"/>
  <c r="P54" i="22"/>
  <c r="Q48" i="22"/>
  <c r="E108" i="22"/>
  <c r="F107" i="22"/>
  <c r="D85" i="22"/>
  <c r="P75" i="22"/>
  <c r="Q75" i="22"/>
  <c r="D66" i="22"/>
  <c r="D62" i="22" s="1"/>
  <c r="P48" i="22"/>
  <c r="P104" i="22"/>
  <c r="F67" i="22"/>
  <c r="P41" i="22"/>
  <c r="P38" i="22"/>
  <c r="Q82" i="22"/>
  <c r="Q43" i="22"/>
  <c r="P82" i="22"/>
  <c r="P77" i="22"/>
  <c r="Q77" i="22"/>
  <c r="Q54" i="22"/>
  <c r="P43" i="22"/>
  <c r="P86" i="22"/>
  <c r="P37" i="22"/>
  <c r="A37" i="22"/>
  <c r="A38" i="22" s="1"/>
  <c r="A39" i="22" s="1"/>
  <c r="C5" i="22"/>
  <c r="D5" i="22" s="1"/>
  <c r="E5" i="22" s="1"/>
  <c r="F5" i="22" s="1"/>
  <c r="G5" i="22" s="1"/>
  <c r="N88" i="22" l="1"/>
  <c r="I88" i="22"/>
  <c r="M88" i="22"/>
  <c r="J88" i="22"/>
  <c r="L88" i="22"/>
  <c r="L78" i="22"/>
  <c r="I78" i="22"/>
  <c r="N78" i="22"/>
  <c r="M78" i="22"/>
  <c r="J78" i="22"/>
  <c r="N94" i="22"/>
  <c r="M94" i="22"/>
  <c r="L94" i="22"/>
  <c r="I94" i="22"/>
  <c r="J94" i="22"/>
  <c r="M73" i="22"/>
  <c r="L73" i="22"/>
  <c r="N73" i="22"/>
  <c r="I73" i="22"/>
  <c r="J73" i="22"/>
  <c r="I108" i="22"/>
  <c r="L108" i="22"/>
  <c r="I107" i="22"/>
  <c r="L107" i="22"/>
  <c r="P73" i="22"/>
  <c r="P88" i="22"/>
  <c r="P90" i="22"/>
  <c r="G85" i="22"/>
  <c r="F85" i="22" s="1"/>
  <c r="F83" i="22"/>
  <c r="E52" i="22"/>
  <c r="D113" i="22"/>
  <c r="D125" i="22" s="1"/>
  <c r="O100" i="22"/>
  <c r="O102" i="22" s="1"/>
  <c r="S52" i="22"/>
  <c r="O98" i="22"/>
  <c r="O113" i="22" s="1"/>
  <c r="S113" i="22" s="1"/>
  <c r="O70" i="22"/>
  <c r="Q11" i="22"/>
  <c r="G52" i="22"/>
  <c r="F52" i="22" s="1"/>
  <c r="D100" i="22"/>
  <c r="D102" i="22" s="1"/>
  <c r="P11" i="22"/>
  <c r="P20" i="22"/>
  <c r="Q20" i="22"/>
  <c r="P78" i="22"/>
  <c r="Q24" i="22"/>
  <c r="P24" i="22"/>
  <c r="Q73" i="22"/>
  <c r="D70" i="22"/>
  <c r="D115" i="22" s="1"/>
  <c r="P16" i="22"/>
  <c r="Q16" i="22"/>
  <c r="Q78" i="22"/>
  <c r="G96" i="22"/>
  <c r="F96" i="22" s="1"/>
  <c r="P107" i="22"/>
  <c r="P39" i="22"/>
  <c r="Q39" i="22"/>
  <c r="F68" i="22"/>
  <c r="G111" i="22"/>
  <c r="F110" i="22"/>
  <c r="P57" i="22"/>
  <c r="P108" i="22"/>
  <c r="G62" i="22"/>
  <c r="F66" i="22"/>
  <c r="S94" i="22"/>
  <c r="O96" i="22"/>
  <c r="P67" i="22"/>
  <c r="Q67" i="22"/>
  <c r="N85" i="22" l="1"/>
  <c r="M85" i="22"/>
  <c r="L85" i="22"/>
  <c r="J85" i="22"/>
  <c r="I85" i="22"/>
  <c r="N96" i="22"/>
  <c r="M96" i="22"/>
  <c r="L96" i="22"/>
  <c r="J96" i="22"/>
  <c r="I96" i="22"/>
  <c r="L83" i="22"/>
  <c r="N83" i="22"/>
  <c r="M83" i="22"/>
  <c r="I83" i="22"/>
  <c r="J83" i="22"/>
  <c r="S70" i="22"/>
  <c r="O115" i="22"/>
  <c r="P83" i="22"/>
  <c r="Q85" i="22"/>
  <c r="P85" i="22"/>
  <c r="Q83" i="22"/>
  <c r="E70" i="22"/>
  <c r="E115" i="22" s="1"/>
  <c r="S50" i="22"/>
  <c r="U50" i="22" s="1"/>
  <c r="G98" i="22"/>
  <c r="F98" i="22" s="1"/>
  <c r="G100" i="22"/>
  <c r="Q52" i="22"/>
  <c r="P52" i="22"/>
  <c r="Q68" i="22"/>
  <c r="P68" i="22"/>
  <c r="Q66" i="22"/>
  <c r="P66" i="22"/>
  <c r="E85" i="22"/>
  <c r="E98" i="22"/>
  <c r="E113" i="22" s="1"/>
  <c r="E94" i="22"/>
  <c r="E96" i="22" s="1"/>
  <c r="G70" i="22"/>
  <c r="G115" i="22" s="1"/>
  <c r="F62" i="22"/>
  <c r="P110" i="22"/>
  <c r="Q110" i="22"/>
  <c r="Q96" i="22"/>
  <c r="P96" i="22"/>
  <c r="P94" i="22"/>
  <c r="Q94" i="22"/>
  <c r="F111" i="22"/>
  <c r="G109" i="22"/>
  <c r="N98" i="22" l="1"/>
  <c r="M98" i="22"/>
  <c r="L98" i="22"/>
  <c r="J98" i="22"/>
  <c r="I98" i="22"/>
  <c r="L62" i="22"/>
  <c r="I62" i="22"/>
  <c r="N62" i="22"/>
  <c r="M62" i="22"/>
  <c r="J62" i="22"/>
  <c r="P98" i="22"/>
  <c r="E125" i="22"/>
  <c r="E127" i="22"/>
  <c r="G102" i="22"/>
  <c r="F102" i="22" s="1"/>
  <c r="F100" i="22"/>
  <c r="Q98" i="22"/>
  <c r="F109" i="22"/>
  <c r="P111" i="22"/>
  <c r="Q111" i="22"/>
  <c r="Q62" i="22"/>
  <c r="P62" i="22"/>
  <c r="F70" i="22"/>
  <c r="E100" i="22"/>
  <c r="N100" i="22" l="1"/>
  <c r="L100" i="22"/>
  <c r="M100" i="22"/>
  <c r="J100" i="22"/>
  <c r="I100" i="22"/>
  <c r="N70" i="22"/>
  <c r="M70" i="22"/>
  <c r="J70" i="22"/>
  <c r="L70" i="22"/>
  <c r="I70" i="22"/>
  <c r="M102" i="22"/>
  <c r="L102" i="22"/>
  <c r="J102" i="22"/>
  <c r="I102" i="22"/>
  <c r="F115" i="22"/>
  <c r="P100" i="22"/>
  <c r="Q100" i="22"/>
  <c r="P102" i="22"/>
  <c r="Q102" i="22"/>
  <c r="F106" i="22"/>
  <c r="G113" i="22"/>
  <c r="F113" i="22" s="1"/>
  <c r="E102" i="22"/>
  <c r="N102" i="22" s="1"/>
  <c r="P109" i="22"/>
  <c r="Q109" i="22"/>
  <c r="Q70" i="22"/>
  <c r="P70" i="22"/>
  <c r="N113" i="22" l="1"/>
  <c r="M113" i="22"/>
  <c r="J113" i="22"/>
  <c r="L113" i="22"/>
  <c r="I113" i="22"/>
  <c r="M106" i="22"/>
  <c r="L106" i="22"/>
  <c r="J106" i="22"/>
  <c r="I106" i="22"/>
  <c r="N106" i="22"/>
  <c r="Q115" i="22"/>
  <c r="J115" i="22"/>
  <c r="M115" i="22" s="1"/>
  <c r="I115" i="22"/>
  <c r="N115" i="22"/>
  <c r="L115" i="22"/>
  <c r="P115" i="22"/>
  <c r="F127" i="22"/>
  <c r="P113" i="22"/>
  <c r="Q113" i="22"/>
  <c r="F125" i="22"/>
  <c r="Q106" i="22"/>
  <c r="P106" i="22"/>
</calcChain>
</file>

<file path=xl/sharedStrings.xml><?xml version="1.0" encoding="utf-8"?>
<sst xmlns="http://schemas.openxmlformats.org/spreadsheetml/2006/main" count="431" uniqueCount="239">
  <si>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</si>
  <si>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</si>
  <si>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</si>
  <si>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</si>
  <si>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</si>
  <si>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</si>
  <si>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</si>
  <si>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</si>
  <si>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</si>
  <si>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</si>
  <si>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</si>
  <si>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</si>
  <si>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</si>
  <si>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</si>
  <si>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</si>
  <si>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</si>
  <si>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</si>
  <si>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</si>
  <si>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</si>
  <si>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</si>
  <si>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</si>
  <si>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</si>
  <si>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</si>
  <si>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</si>
  <si>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</si>
  <si>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</si>
  <si>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</si>
  <si>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</si>
  <si>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</si>
  <si>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</si>
  <si>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</si>
  <si>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</si>
  <si>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</si>
  <si>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</si>
  <si>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</si>
  <si>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</si>
  <si>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</si>
  <si>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</si>
  <si>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</si>
  <si>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</si>
  <si>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</si>
  <si>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</si>
  <si>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</si>
  <si>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</si>
  <si>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</si>
  <si>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</si>
  <si>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</si>
  <si>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</si>
  <si>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</si>
  <si>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</si>
  <si>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</si>
  <si>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</si>
  <si>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</si>
  <si>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</si>
  <si>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</si>
  <si>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</si>
  <si>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</si>
  <si>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</si>
  <si>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</si>
  <si>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</si>
  <si>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</si>
  <si>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</si>
  <si>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</si>
  <si>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</si>
  <si>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</si>
  <si>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</si>
  <si>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</si>
  <si>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</si>
  <si>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</si>
  <si>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</si>
  <si>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</si>
  <si>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</si>
  <si>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</si>
  <si>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</si>
  <si>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</si>
  <si>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</si>
  <si>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</si>
  <si>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</si>
  <si>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</si>
  <si>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</si>
  <si>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</si>
  <si>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</si>
  <si>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</si>
  <si>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</si>
  <si>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</si>
  <si>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</si>
  <si>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</si>
  <si>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</si>
  <si>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</si>
  <si>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</si>
  <si>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</si>
  <si>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</si>
  <si>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</si>
  <si>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</si>
  <si>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</si>
  <si>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</si>
  <si>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</si>
  <si>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</si>
  <si>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</si>
  <si>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</si>
  <si>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</si>
  <si>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</si>
  <si>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</si>
  <si>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</si>
  <si>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</si>
  <si>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</si>
  <si>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</si>
  <si>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</si>
  <si>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</si>
  <si>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</si>
  <si>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</si>
  <si>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</si>
  <si>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</si>
  <si>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</si>
  <si>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</si>
  <si>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</si>
  <si>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</si>
  <si>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</si>
  <si>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</si>
  <si>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</si>
  <si>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</si>
  <si>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</si>
  <si>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</si>
  <si>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</si>
  <si>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</si>
  <si>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</si>
  <si>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</si>
  <si>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</si>
  <si>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</si>
  <si>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</si>
  <si>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</si>
  <si>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</si>
  <si>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</si>
  <si>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</si>
  <si>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</si>
  <si>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</si>
  <si>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</si>
  <si>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</si>
  <si>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</si>
  <si>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</si>
  <si>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</si>
  <si>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</si>
  <si>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>7.2.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</si>
  <si>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</si>
  <si>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</si>
  <si>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</si>
  <si>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</si>
  <si>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</si>
  <si>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</si>
  <si>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</si>
  <si>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</si>
  <si>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</si>
  <si>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</si>
  <si>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</si>
  <si>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</si>
  <si>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</si>
  <si>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</si>
  <si>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</si>
  <si>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</si>
  <si>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</si>
  <si>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</si>
  <si>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</si>
  <si>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</si>
  <si>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</si>
  <si>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
(без власних надходжень бюджетних установ ККД 25000000)</t>
  </si>
  <si>
    <t>Всього власних доходів загального фонду</t>
  </si>
  <si>
    <t>Власні доходи</t>
  </si>
  <si>
    <t>Власні доходи 
(без власних надходжень бюджетних установ ККД 25000000) 
+освітня субвенція+реверсна дотація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</si>
  <si>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</si>
  <si>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</si>
  <si>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</si>
  <si>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Аналіз виконання бюджету Вінницької міської територіальної громади за січень 2024 року (за оперативними даними)</t>
  </si>
  <si>
    <t>Надійшло за січень 2024р.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</si>
  <si>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</si>
  <si>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</si>
  <si>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</si>
  <si>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</si>
  <si>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</si>
  <si>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План на січень 2024 року</t>
  </si>
  <si>
    <t>План на січень 2024р. (розрахунковий)</t>
  </si>
  <si>
    <t>Надійшло за січень 2023р.</t>
  </si>
  <si>
    <t>Відхилення факту  2024р. від факту 2023р.</t>
  </si>
  <si>
    <t>Відхилення надходжень до плану на січень 2024 року</t>
  </si>
  <si>
    <t xml:space="preserve">Відхилення надходжень до плану на січень 2024 року (розрахунковий) </t>
  </si>
  <si>
    <t>% виконання до бюджету на 2024р. (норма 8,3%)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</si>
  <si>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</si>
  <si>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</si>
  <si>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</si>
  <si>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 xml:space="preserve">Податок та збір на доходи фізичних осіб (без ПДФО "військовослужбовців" ККД 11010200) </t>
  </si>
  <si>
    <t>4.4.</t>
  </si>
  <si>
    <t>4.3.</t>
  </si>
  <si>
    <t xml:space="preserve">ВСЬОГО ДОХОДІВ ЗАГАЛЬНОГО ФОНДУ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</si>
  <si>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</si>
  <si>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</si>
  <si>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</si>
  <si>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</si>
  <si>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</si>
  <si>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</si>
  <si>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</si>
  <si>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</si>
  <si>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</si>
  <si>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</si>
  <si>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 xml:space="preserve">Власні доходи
(без ПДФО "військовослужбовців" ККД 11010200)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</si>
  <si>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</si>
  <si>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</si>
  <si>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</si>
  <si>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</si>
  <si>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</si>
  <si>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</si>
  <si>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</si>
  <si>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</si>
  <si>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</si>
  <si>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</si>
  <si>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</si>
  <si>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</si>
  <si>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</si>
  <si>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</si>
  <si>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</si>
  <si>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</si>
  <si>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</si>
  <si>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Від Європейського Союзу, урядів іноземних держав, міжнародних організацій, донорських установ (ККД 42000000)</t>
  </si>
  <si>
    <t>квітень</t>
  </si>
  <si>
    <t>Надійшло за січень - квітень 2024р.</t>
  </si>
  <si>
    <t>План на січень - квітень 2024 року</t>
  </si>
  <si>
    <t>Відхилення надходжень до плану на січень - квітень 2024 року</t>
  </si>
  <si>
    <t>План на січень - квітень 2024р. (розрахунковий)</t>
  </si>
  <si>
    <t xml:space="preserve">Відхилення надходжень до плану на січень - квітень 2024 року (розрахунковий) </t>
  </si>
  <si>
    <t>Надійшло за січень - квітень 2023р.</t>
  </si>
  <si>
    <t>% виконання до бюджету на 2024р. (норма 33,3%)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</si>
  <si>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</si>
  <si>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</si>
  <si>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8.1.</t>
  </si>
  <si>
    <t>8.2.</t>
  </si>
  <si>
    <t>8.3.</t>
  </si>
  <si>
    <t>8.4.</t>
  </si>
  <si>
    <t>8.5.</t>
  </si>
  <si>
    <t>8.6.</t>
  </si>
  <si>
    <t>8.7.</t>
  </si>
  <si>
    <t>Аналіз виконання бюджету Вінницької міської територіальної громади за січень - квітень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</si>
</sst>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7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6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31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/>
    </xf>
    <xf numFmtId="0" fontId="3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1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165" fontId="42" fillId="2" borderId="1" xfId="1" applyNumberFormat="1" applyFont="1" applyFill="1" applyBorder="1" applyAlignment="1">
      <alignment horizontal="center" vertical="center" wrapText="1"/>
    </xf>
    <xf numFmtId="166" fontId="42" fillId="2" borderId="1" xfId="1" applyNumberFormat="1" applyFont="1" applyFill="1" applyBorder="1" applyAlignment="1">
      <alignment horizontal="center" vertical="center" wrapText="1"/>
    </xf>
    <xf numFmtId="166" fontId="42" fillId="2" borderId="1" xfId="3" applyNumberFormat="1" applyFont="1" applyFill="1" applyBorder="1" applyAlignment="1">
      <alignment horizontal="center" vertical="center"/>
    </xf>
    <xf numFmtId="164" fontId="42" fillId="2" borderId="1" xfId="3" applyNumberFormat="1" applyFont="1" applyFill="1" applyBorder="1" applyAlignment="1">
      <alignment horizontal="center" vertical="center"/>
    </xf>
    <xf numFmtId="166" fontId="41" fillId="2" borderId="0" xfId="1" applyNumberFormat="1" applyFont="1" applyFill="1" applyBorder="1"/>
    <xf numFmtId="0" fontId="41" fillId="2" borderId="0" xfId="1" applyFont="1" applyFill="1" applyBorder="1"/>
    <xf numFmtId="49" fontId="42" fillId="2" borderId="1" xfId="1" applyNumberFormat="1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 wrapText="1"/>
    </xf>
    <xf numFmtId="166" fontId="42" fillId="0" borderId="1" xfId="1" applyNumberFormat="1" applyFont="1" applyFill="1" applyBorder="1" applyAlignment="1">
      <alignment horizontal="center" vertical="center" wrapText="1"/>
    </xf>
    <xf numFmtId="166" fontId="42" fillId="0" borderId="1" xfId="3" applyNumberFormat="1" applyFont="1" applyFill="1" applyBorder="1" applyAlignment="1">
      <alignment horizontal="center" vertical="center"/>
    </xf>
    <xf numFmtId="164" fontId="42" fillId="0" borderId="1" xfId="3" applyNumberFormat="1" applyFont="1" applyFill="1" applyBorder="1" applyAlignment="1">
      <alignment horizontal="center" vertical="center"/>
    </xf>
    <xf numFmtId="0" fontId="41" fillId="0" borderId="0" xfId="1" applyFont="1" applyFill="1" applyBorder="1"/>
    <xf numFmtId="0" fontId="41" fillId="2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167" fontId="30" fillId="0" borderId="1" xfId="3" applyNumberFormat="1" applyFont="1" applyFill="1" applyBorder="1"/>
    <xf numFmtId="167" fontId="30" fillId="2" borderId="1" xfId="3" applyNumberFormat="1" applyFont="1" applyFill="1" applyBorder="1"/>
    <xf numFmtId="49" fontId="40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9" fillId="0" borderId="1" xfId="3" applyNumberFormat="1" applyFont="1" applyFill="1" applyBorder="1" applyAlignment="1">
      <alignment horizontal="center" vertical="center" wrapText="1"/>
    </xf>
    <xf numFmtId="168" fontId="32" fillId="2" borderId="1" xfId="3" applyNumberFormat="1" applyFont="1" applyFill="1" applyBorder="1" applyAlignment="1">
      <alignment horizontal="center" vertical="center" wrapText="1"/>
    </xf>
    <xf numFmtId="168" fontId="32" fillId="2" borderId="1" xfId="1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8" fontId="42" fillId="2" borderId="1" xfId="1" applyNumberFormat="1" applyFont="1" applyFill="1" applyBorder="1" applyAlignment="1">
      <alignment horizontal="center" vertical="center" wrapText="1"/>
    </xf>
    <xf numFmtId="168" fontId="42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8" fontId="30" fillId="0" borderId="1" xfId="3" applyNumberFormat="1" applyFont="1" applyFill="1" applyBorder="1"/>
    <xf numFmtId="166" fontId="36" fillId="2" borderId="1" xfId="3" applyNumberFormat="1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46" fillId="0" borderId="0" xfId="3" applyNumberFormat="1" applyFont="1" applyFill="1" applyBorder="1"/>
    <xf numFmtId="164" fontId="46" fillId="0" borderId="0" xfId="3" applyNumberFormat="1" applyFont="1" applyFill="1" applyBorder="1"/>
    <xf numFmtId="0" fontId="46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8" fontId="36" fillId="2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/>
    </xf>
    <xf numFmtId="164" fontId="36" fillId="2" borderId="1" xfId="3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167" fontId="42" fillId="2" borderId="1" xfId="3" applyNumberFormat="1" applyFont="1" applyFill="1" applyBorder="1" applyAlignment="1">
      <alignment horizontal="center" vertical="center"/>
    </xf>
    <xf numFmtId="0" fontId="2" fillId="0" borderId="1" xfId="2" applyFont="1" applyFill="1" applyBorder="1"/>
    <xf numFmtId="0" fontId="2" fillId="2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/>
    </xf>
    <xf numFmtId="0" fontId="45" fillId="0" borderId="4" xfId="3" applyFont="1" applyFill="1" applyBorder="1" applyAlignment="1">
      <alignment horizontal="center" vertical="center" wrapText="1"/>
    </xf>
    <xf numFmtId="166" fontId="39" fillId="0" borderId="2" xfId="3" applyNumberFormat="1" applyFont="1" applyFill="1" applyBorder="1" applyAlignment="1">
      <alignment horizontal="center" vertical="center" wrapText="1"/>
    </xf>
    <xf numFmtId="166" fontId="39" fillId="0" borderId="3" xfId="3" applyNumberFormat="1" applyFont="1" applyFill="1" applyBorder="1" applyAlignment="1">
      <alignment horizontal="center" vertical="center" wrapText="1"/>
    </xf>
    <xf numFmtId="166" fontId="39" fillId="0" borderId="4" xfId="3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32" fillId="2" borderId="3" xfId="3" applyFont="1" applyFill="1" applyBorder="1" applyAlignment="1">
      <alignment horizontal="center" vertical="center" wrapText="1"/>
    </xf>
    <xf numFmtId="0" fontId="32" fillId="2" borderId="4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5" fillId="2" borderId="1" xfId="3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3"/>
  <sheetViews>
    <sheetView showGridLines="0" view="pageBreakPreview" zoomScale="60" zoomScaleNormal="75" workbookViewId="0">
      <pane xSplit="3" ySplit="4" topLeftCell="D84" activePane="bottomRight" state="frozen"/>
      <selection pane="topRight" activeCell="D1" sqref="D1"/>
      <selection pane="bottomLeft" activeCell="A5" sqref="A5"/>
      <selection pane="bottomRight" activeCell="B106" sqref="B106"/>
    </sheetView>
  </sheetViews>
  <sheetFormatPr defaultRowHeight="12.75" x14ac:dyDescent="0.2"/>
  <cols>
    <col min="1" max="1" width="12.28515625" style="19" customWidth="1"/>
    <col min="2" max="2" width="73" style="19" customWidth="1"/>
    <col min="3" max="3" width="16.140625" style="19" customWidth="1"/>
    <col min="4" max="5" width="24.140625" style="19" customWidth="1"/>
    <col min="6" max="6" width="24.28515625" style="31" customWidth="1"/>
    <col min="7" max="7" width="21.28515625" style="3" bestFit="1" customWidth="1"/>
    <col min="8" max="9" width="21.28515625" style="3" customWidth="1"/>
    <col min="10" max="10" width="14.85546875" style="3" bestFit="1" customWidth="1"/>
    <col min="11" max="12" width="21.28515625" style="3" customWidth="1"/>
    <col min="13" max="13" width="13.7109375" style="3" bestFit="1" customWidth="1"/>
    <col min="14" max="14" width="16.7109375" style="3" customWidth="1"/>
    <col min="15" max="15" width="24.140625" style="31" customWidth="1"/>
    <col min="16" max="16" width="21.28515625" style="1" customWidth="1"/>
    <col min="17" max="17" width="13.7109375" style="3" bestFit="1" customWidth="1"/>
    <col min="18" max="18" width="24.140625" style="3" bestFit="1" customWidth="1"/>
    <col min="19" max="19" width="22.5703125" style="3" bestFit="1" customWidth="1"/>
    <col min="20" max="20" width="15.85546875" style="3" bestFit="1" customWidth="1"/>
    <col min="21" max="21" width="9.140625" style="3"/>
    <col min="22" max="22" width="24.140625" style="3" bestFit="1" customWidth="1"/>
    <col min="23" max="23" width="9.140625" style="3"/>
    <col min="24" max="24" width="15.140625" style="3" bestFit="1" customWidth="1"/>
    <col min="25" max="16384" width="9.140625" style="3"/>
  </cols>
  <sheetData>
    <row r="1" spans="1:32" ht="30" customHeight="1" x14ac:dyDescent="0.2">
      <c r="A1" s="251" t="s">
        <v>171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32" ht="18.75" x14ac:dyDescent="0.3">
      <c r="A2" s="22" t="s">
        <v>48</v>
      </c>
      <c r="B2" s="17"/>
      <c r="C2" s="1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5" t="s">
        <v>13</v>
      </c>
      <c r="Q2" s="5"/>
    </row>
    <row r="3" spans="1:32" s="68" customFormat="1" ht="15" customHeight="1" x14ac:dyDescent="0.25">
      <c r="A3" s="261" t="s">
        <v>0</v>
      </c>
      <c r="B3" s="249" t="s">
        <v>1</v>
      </c>
      <c r="C3" s="249" t="s">
        <v>2</v>
      </c>
      <c r="D3" s="245" t="s">
        <v>173</v>
      </c>
      <c r="E3" s="245" t="s">
        <v>174</v>
      </c>
      <c r="F3" s="248" t="s">
        <v>172</v>
      </c>
      <c r="G3" s="245" t="s">
        <v>63</v>
      </c>
      <c r="H3" s="245" t="s">
        <v>178</v>
      </c>
      <c r="I3" s="245" t="s">
        <v>182</v>
      </c>
      <c r="J3" s="245" t="s">
        <v>3</v>
      </c>
      <c r="K3" s="245" t="s">
        <v>179</v>
      </c>
      <c r="L3" s="245" t="s">
        <v>183</v>
      </c>
      <c r="M3" s="245" t="s">
        <v>3</v>
      </c>
      <c r="N3" s="250" t="s">
        <v>184</v>
      </c>
      <c r="O3" s="248" t="s">
        <v>180</v>
      </c>
      <c r="P3" s="245" t="s">
        <v>181</v>
      </c>
      <c r="Q3" s="245" t="s">
        <v>3</v>
      </c>
    </row>
    <row r="4" spans="1:32" s="68" customFormat="1" ht="94.5" customHeight="1" x14ac:dyDescent="0.25">
      <c r="A4" s="261"/>
      <c r="B4" s="249"/>
      <c r="C4" s="249"/>
      <c r="D4" s="245"/>
      <c r="E4" s="245"/>
      <c r="F4" s="248"/>
      <c r="G4" s="245"/>
      <c r="H4" s="245"/>
      <c r="I4" s="245"/>
      <c r="J4" s="245"/>
      <c r="K4" s="245"/>
      <c r="L4" s="245"/>
      <c r="M4" s="245"/>
      <c r="N4" s="250"/>
      <c r="O4" s="248"/>
      <c r="P4" s="245"/>
      <c r="Q4" s="245"/>
    </row>
    <row r="5" spans="1:32" s="73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f t="shared" ref="E5" si="0">D5+1</f>
        <v>5</v>
      </c>
      <c r="F5" s="71">
        <f t="shared" ref="F5" si="1">E5+1</f>
        <v>6</v>
      </c>
      <c r="G5" s="70">
        <f t="shared" ref="G5" si="2">F5+1</f>
        <v>7</v>
      </c>
      <c r="H5" s="70">
        <f t="shared" ref="H5" si="3">G5+1</f>
        <v>8</v>
      </c>
      <c r="I5" s="70">
        <f t="shared" ref="I5" si="4">H5+1</f>
        <v>9</v>
      </c>
      <c r="J5" s="70">
        <f t="shared" ref="J5" si="5">I5+1</f>
        <v>10</v>
      </c>
      <c r="K5" s="70">
        <f t="shared" ref="K5" si="6">J5+1</f>
        <v>11</v>
      </c>
      <c r="L5" s="70">
        <f t="shared" ref="L5" si="7">K5+1</f>
        <v>12</v>
      </c>
      <c r="M5" s="70">
        <f t="shared" ref="M5" si="8">L5+1</f>
        <v>13</v>
      </c>
      <c r="N5" s="70">
        <f t="shared" ref="N5" si="9">M5+1</f>
        <v>14</v>
      </c>
      <c r="O5" s="71">
        <f t="shared" ref="O5" si="10">N5+1</f>
        <v>15</v>
      </c>
      <c r="P5" s="70">
        <f t="shared" ref="P5" si="11">O5+1</f>
        <v>16</v>
      </c>
      <c r="Q5" s="70">
        <f t="shared" ref="Q5" si="12">P5+1</f>
        <v>17</v>
      </c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s="74" customFormat="1" ht="26.25" customHeight="1" x14ac:dyDescent="0.2">
      <c r="A6" s="252" t="s">
        <v>6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</row>
    <row r="7" spans="1:32" s="79" customFormat="1" ht="32.25" customHeight="1" x14ac:dyDescent="0.25">
      <c r="A7" s="234">
        <v>1</v>
      </c>
      <c r="B7" s="84" t="s">
        <v>66</v>
      </c>
      <c r="C7" s="76" t="s">
        <v>14</v>
      </c>
      <c r="D7" s="116">
        <v>3112871.4720000001</v>
      </c>
      <c r="E7" s="116">
        <v>3112871.4720000001</v>
      </c>
      <c r="F7" s="117">
        <f>SUM(G7:G7)</f>
        <v>211850.85699999999</v>
      </c>
      <c r="G7" s="116">
        <v>211850.85699999999</v>
      </c>
      <c r="H7" s="116">
        <v>184545</v>
      </c>
      <c r="I7" s="116">
        <f>F7-H7</f>
        <v>27305.856999999989</v>
      </c>
      <c r="J7" s="193">
        <f>F7/H7*100</f>
        <v>114.79631363624048</v>
      </c>
      <c r="K7" s="116">
        <f>E7/12*1</f>
        <v>259405.95600000001</v>
      </c>
      <c r="L7" s="116">
        <f>F7-K7</f>
        <v>-47555.099000000017</v>
      </c>
      <c r="M7" s="193">
        <f>F7/K7*100</f>
        <v>81.667691932254627</v>
      </c>
      <c r="N7" s="193">
        <f>F7/E7*100</f>
        <v>6.8056409943545519</v>
      </c>
      <c r="O7" s="117">
        <v>228775.38699999999</v>
      </c>
      <c r="P7" s="118">
        <f>F7-O7</f>
        <v>-16924.53</v>
      </c>
      <c r="Q7" s="119">
        <f>F7/O7*100</f>
        <v>92.602119387956719</v>
      </c>
      <c r="R7" s="77"/>
      <c r="S7" s="77"/>
      <c r="T7" s="77">
        <f>R7-S7</f>
        <v>0</v>
      </c>
      <c r="U7" s="78" t="e">
        <f>R7/S7*100</f>
        <v>#DIV/0!</v>
      </c>
    </row>
    <row r="8" spans="1:32" s="83" customFormat="1" ht="98.25" x14ac:dyDescent="0.25">
      <c r="A8" s="235"/>
      <c r="B8" s="175" t="s">
        <v>186</v>
      </c>
      <c r="C8" s="187" t="s">
        <v>185</v>
      </c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121">
        <v>67441.37</v>
      </c>
      <c r="P8" s="122">
        <f>D8-O8</f>
        <v>-67441.37</v>
      </c>
      <c r="Q8" s="123">
        <f>D8/O8*100</f>
        <v>0</v>
      </c>
      <c r="R8" s="81"/>
      <c r="S8" s="81"/>
      <c r="T8" s="81"/>
      <c r="U8" s="82"/>
    </row>
    <row r="9" spans="1:32" s="209" customFormat="1" ht="48" customHeight="1" x14ac:dyDescent="0.25">
      <c r="A9" s="236"/>
      <c r="B9" s="237" t="s">
        <v>188</v>
      </c>
      <c r="C9" s="238"/>
      <c r="D9" s="103">
        <f>D7</f>
        <v>3112871.4720000001</v>
      </c>
      <c r="E9" s="103">
        <f>E7</f>
        <v>3112871.4720000001</v>
      </c>
      <c r="F9" s="203">
        <f t="shared" ref="F9" si="13">SUM(G9:G9)</f>
        <v>211850.85699999999</v>
      </c>
      <c r="G9" s="103">
        <f>G7</f>
        <v>211850.85699999999</v>
      </c>
      <c r="H9" s="103">
        <f>H7</f>
        <v>184545</v>
      </c>
      <c r="I9" s="103">
        <f>F9-H9</f>
        <v>27305.856999999989</v>
      </c>
      <c r="J9" s="204">
        <f>F9/H9*100</f>
        <v>114.79631363624048</v>
      </c>
      <c r="K9" s="103">
        <f>E9/12*1</f>
        <v>259405.95600000001</v>
      </c>
      <c r="L9" s="103">
        <f>F9-K9</f>
        <v>-47555.099000000017</v>
      </c>
      <c r="M9" s="204">
        <f>F9/K9*100</f>
        <v>81.667691932254627</v>
      </c>
      <c r="N9" s="204">
        <f>F9/E9*100</f>
        <v>6.8056409943545519</v>
      </c>
      <c r="O9" s="203">
        <f>O7-O8</f>
        <v>161334.01699999999</v>
      </c>
      <c r="P9" s="205">
        <f t="shared" ref="P9" si="14">F9-O9</f>
        <v>50516.84</v>
      </c>
      <c r="Q9" s="206">
        <f t="shared" ref="Q9" si="15">F9/O9*100</f>
        <v>131.31195822143326</v>
      </c>
      <c r="R9" s="207"/>
      <c r="S9" s="207"/>
      <c r="T9" s="207"/>
      <c r="U9" s="208"/>
    </row>
    <row r="10" spans="1:32" s="79" customFormat="1" ht="39" x14ac:dyDescent="0.25">
      <c r="A10" s="75">
        <f>A7+1</f>
        <v>2</v>
      </c>
      <c r="B10" s="84" t="s">
        <v>36</v>
      </c>
      <c r="C10" s="76" t="s">
        <v>16</v>
      </c>
      <c r="D10" s="116">
        <v>2500</v>
      </c>
      <c r="E10" s="116">
        <v>2500</v>
      </c>
      <c r="F10" s="117">
        <f t="shared" ref="F10:F41" si="16">SUM(G10:G10)</f>
        <v>238.74100000000001</v>
      </c>
      <c r="G10" s="116">
        <v>238.74100000000001</v>
      </c>
      <c r="H10" s="116">
        <v>238</v>
      </c>
      <c r="I10" s="116">
        <f t="shared" ref="I10:I70" si="17">F10-H10</f>
        <v>0.74100000000001387</v>
      </c>
      <c r="J10" s="193">
        <f t="shared" ref="J10:J70" si="18">F10/H10*100</f>
        <v>100.31134453781515</v>
      </c>
      <c r="K10" s="116">
        <f t="shared" ref="K10:K51" si="19">E10/12*1</f>
        <v>208.33333333333334</v>
      </c>
      <c r="L10" s="116">
        <f t="shared" ref="L10:L70" si="20">F10-K10</f>
        <v>30.407666666666671</v>
      </c>
      <c r="M10" s="193">
        <f t="shared" ref="M10:M70" si="21">F10/K10*100</f>
        <v>114.59568</v>
      </c>
      <c r="N10" s="193">
        <f t="shared" ref="N10:N70" si="22">F10/E10*100</f>
        <v>9.5496400000000001</v>
      </c>
      <c r="O10" s="117">
        <v>0</v>
      </c>
      <c r="P10" s="118">
        <f t="shared" ref="P10:P41" si="23">F10-O10</f>
        <v>238.74100000000001</v>
      </c>
      <c r="Q10" s="119"/>
      <c r="R10" s="77"/>
      <c r="S10" s="77"/>
      <c r="T10" s="77">
        <f>O7/0.5</f>
        <v>457550.77399999998</v>
      </c>
      <c r="U10" s="78">
        <f>S10/T10*100</f>
        <v>0</v>
      </c>
    </row>
    <row r="11" spans="1:32" s="79" customFormat="1" ht="39" x14ac:dyDescent="0.25">
      <c r="A11" s="75">
        <v>3</v>
      </c>
      <c r="B11" s="84" t="s">
        <v>102</v>
      </c>
      <c r="C11" s="76" t="s">
        <v>103</v>
      </c>
      <c r="D11" s="116">
        <f>SUM(D12:D15)</f>
        <v>455.8</v>
      </c>
      <c r="E11" s="116">
        <f>SUM(E12:E15)</f>
        <v>455.8</v>
      </c>
      <c r="F11" s="117">
        <f t="shared" si="16"/>
        <v>0.97799999999999998</v>
      </c>
      <c r="G11" s="116">
        <f t="shared" ref="G11:H11" si="24">SUM(G12:G15)</f>
        <v>0.97799999999999998</v>
      </c>
      <c r="H11" s="116">
        <f t="shared" si="24"/>
        <v>0.97699999999999998</v>
      </c>
      <c r="I11" s="116">
        <f t="shared" si="17"/>
        <v>1.0000000000000009E-3</v>
      </c>
      <c r="J11" s="193">
        <f t="shared" si="18"/>
        <v>100.10235414534287</v>
      </c>
      <c r="K11" s="116">
        <f t="shared" si="19"/>
        <v>37.983333333333334</v>
      </c>
      <c r="L11" s="116">
        <f t="shared" si="20"/>
        <v>-37.005333333333333</v>
      </c>
      <c r="M11" s="193">
        <f t="shared" si="21"/>
        <v>2.5748135146994295</v>
      </c>
      <c r="N11" s="193">
        <f t="shared" si="22"/>
        <v>0.21456779289161912</v>
      </c>
      <c r="O11" s="117">
        <f>SUM(O12:O15)</f>
        <v>1.413</v>
      </c>
      <c r="P11" s="118">
        <f t="shared" si="23"/>
        <v>-0.43500000000000005</v>
      </c>
      <c r="Q11" s="119">
        <f>F11/O11*100</f>
        <v>69.214437367303603</v>
      </c>
      <c r="R11" s="77"/>
      <c r="S11" s="77"/>
      <c r="T11" s="77"/>
      <c r="U11" s="78"/>
    </row>
    <row r="12" spans="1:32" s="83" customFormat="1" ht="58.5" x14ac:dyDescent="0.25">
      <c r="A12" s="80" t="s">
        <v>104</v>
      </c>
      <c r="B12" s="174" t="s">
        <v>126</v>
      </c>
      <c r="C12" s="185" t="s">
        <v>127</v>
      </c>
      <c r="D12" s="120">
        <v>32</v>
      </c>
      <c r="E12" s="120">
        <v>32</v>
      </c>
      <c r="F12" s="121">
        <f t="shared" si="16"/>
        <v>0</v>
      </c>
      <c r="G12" s="120">
        <v>0</v>
      </c>
      <c r="H12" s="120">
        <v>0</v>
      </c>
      <c r="I12" s="120">
        <f t="shared" si="17"/>
        <v>0</v>
      </c>
      <c r="J12" s="194"/>
      <c r="K12" s="120">
        <f t="shared" si="19"/>
        <v>2.6666666666666665</v>
      </c>
      <c r="L12" s="120">
        <f t="shared" si="20"/>
        <v>-2.6666666666666665</v>
      </c>
      <c r="M12" s="194">
        <f t="shared" si="21"/>
        <v>0</v>
      </c>
      <c r="N12" s="194">
        <f t="shared" si="22"/>
        <v>0</v>
      </c>
      <c r="O12" s="121">
        <v>0.79500000000000004</v>
      </c>
      <c r="P12" s="122">
        <f t="shared" si="23"/>
        <v>-0.79500000000000004</v>
      </c>
      <c r="Q12" s="123">
        <f>F12/O12*100</f>
        <v>0</v>
      </c>
      <c r="R12" s="81"/>
      <c r="S12" s="81"/>
      <c r="T12" s="81"/>
      <c r="U12" s="82"/>
    </row>
    <row r="13" spans="1:32" s="83" customFormat="1" ht="78" x14ac:dyDescent="0.25">
      <c r="A13" s="80" t="s">
        <v>105</v>
      </c>
      <c r="B13" s="174" t="s">
        <v>97</v>
      </c>
      <c r="C13" s="67" t="s">
        <v>98</v>
      </c>
      <c r="D13" s="120">
        <v>305</v>
      </c>
      <c r="E13" s="120">
        <v>305</v>
      </c>
      <c r="F13" s="121">
        <f t="shared" si="16"/>
        <v>0</v>
      </c>
      <c r="G13" s="120">
        <v>0</v>
      </c>
      <c r="H13" s="120">
        <v>0</v>
      </c>
      <c r="I13" s="120">
        <f t="shared" si="17"/>
        <v>0</v>
      </c>
      <c r="J13" s="194"/>
      <c r="K13" s="120">
        <f t="shared" si="19"/>
        <v>25.416666666666668</v>
      </c>
      <c r="L13" s="120">
        <f t="shared" si="20"/>
        <v>-25.416666666666668</v>
      </c>
      <c r="M13" s="194">
        <f t="shared" si="21"/>
        <v>0</v>
      </c>
      <c r="N13" s="194">
        <f t="shared" si="22"/>
        <v>0</v>
      </c>
      <c r="O13" s="121">
        <v>0</v>
      </c>
      <c r="P13" s="122">
        <f t="shared" si="23"/>
        <v>0</v>
      </c>
      <c r="Q13" s="123"/>
    </row>
    <row r="14" spans="1:32" s="83" customFormat="1" ht="58.5" x14ac:dyDescent="0.25">
      <c r="A14" s="80" t="s">
        <v>106</v>
      </c>
      <c r="B14" s="174" t="s">
        <v>124</v>
      </c>
      <c r="C14" s="67" t="s">
        <v>101</v>
      </c>
      <c r="D14" s="120">
        <v>117</v>
      </c>
      <c r="E14" s="120">
        <v>117</v>
      </c>
      <c r="F14" s="121">
        <f t="shared" si="16"/>
        <v>0.97799999999999998</v>
      </c>
      <c r="G14" s="120">
        <v>0.97799999999999998</v>
      </c>
      <c r="H14" s="120">
        <v>0.97699999999999998</v>
      </c>
      <c r="I14" s="120">
        <f t="shared" si="17"/>
        <v>1.0000000000000009E-3</v>
      </c>
      <c r="J14" s="194">
        <f t="shared" si="18"/>
        <v>100.10235414534287</v>
      </c>
      <c r="K14" s="120">
        <f t="shared" si="19"/>
        <v>9.75</v>
      </c>
      <c r="L14" s="120">
        <f t="shared" si="20"/>
        <v>-8.7720000000000002</v>
      </c>
      <c r="M14" s="194">
        <f t="shared" si="21"/>
        <v>10.030769230769231</v>
      </c>
      <c r="N14" s="194">
        <f t="shared" si="22"/>
        <v>0.83589743589743593</v>
      </c>
      <c r="O14" s="121">
        <v>0.45800000000000002</v>
      </c>
      <c r="P14" s="122">
        <f t="shared" si="23"/>
        <v>0.52</v>
      </c>
      <c r="Q14" s="123">
        <f t="shared" ref="Q14:Q22" si="25">F14/O14*100</f>
        <v>213.53711790393012</v>
      </c>
    </row>
    <row r="15" spans="1:32" s="83" customFormat="1" ht="39" x14ac:dyDescent="0.25">
      <c r="A15" s="80" t="s">
        <v>128</v>
      </c>
      <c r="B15" s="174" t="s">
        <v>123</v>
      </c>
      <c r="C15" s="67" t="s">
        <v>122</v>
      </c>
      <c r="D15" s="120">
        <v>1.8</v>
      </c>
      <c r="E15" s="120">
        <v>1.8</v>
      </c>
      <c r="F15" s="121">
        <f t="shared" si="16"/>
        <v>0</v>
      </c>
      <c r="G15" s="120">
        <v>0</v>
      </c>
      <c r="H15" s="120">
        <v>0</v>
      </c>
      <c r="I15" s="120">
        <f t="shared" si="17"/>
        <v>0</v>
      </c>
      <c r="J15" s="194"/>
      <c r="K15" s="120">
        <f t="shared" si="19"/>
        <v>0.15</v>
      </c>
      <c r="L15" s="120">
        <f t="shared" si="20"/>
        <v>-0.15</v>
      </c>
      <c r="M15" s="194">
        <f t="shared" si="21"/>
        <v>0</v>
      </c>
      <c r="N15" s="194">
        <f t="shared" si="22"/>
        <v>0</v>
      </c>
      <c r="O15" s="121">
        <v>0.16</v>
      </c>
      <c r="P15" s="122">
        <f t="shared" si="23"/>
        <v>-0.16</v>
      </c>
      <c r="Q15" s="123">
        <f t="shared" si="25"/>
        <v>0</v>
      </c>
    </row>
    <row r="16" spans="1:32" s="79" customFormat="1" ht="23.25" x14ac:dyDescent="0.25">
      <c r="A16" s="75">
        <v>4</v>
      </c>
      <c r="B16" s="104" t="s">
        <v>87</v>
      </c>
      <c r="C16" s="99" t="s">
        <v>86</v>
      </c>
      <c r="D16" s="116">
        <f>D17+D20</f>
        <v>459000</v>
      </c>
      <c r="E16" s="116">
        <f>E17+E20</f>
        <v>459000</v>
      </c>
      <c r="F16" s="117">
        <f t="shared" si="16"/>
        <v>40518.83</v>
      </c>
      <c r="G16" s="116">
        <f t="shared" ref="G16:H16" si="26">G17+G20</f>
        <v>40518.83</v>
      </c>
      <c r="H16" s="116">
        <f t="shared" si="26"/>
        <v>39280</v>
      </c>
      <c r="I16" s="116">
        <f t="shared" si="17"/>
        <v>1238.8300000000017</v>
      </c>
      <c r="J16" s="193">
        <f t="shared" si="18"/>
        <v>103.15384419551935</v>
      </c>
      <c r="K16" s="116">
        <f t="shared" si="19"/>
        <v>38250</v>
      </c>
      <c r="L16" s="116">
        <f t="shared" si="20"/>
        <v>2268.8300000000017</v>
      </c>
      <c r="M16" s="193">
        <f t="shared" si="21"/>
        <v>105.9315816993464</v>
      </c>
      <c r="N16" s="193">
        <f t="shared" si="22"/>
        <v>8.8276318082788663</v>
      </c>
      <c r="O16" s="117">
        <f>O17+O20</f>
        <v>34903.103000000003</v>
      </c>
      <c r="P16" s="118">
        <f t="shared" si="23"/>
        <v>5615.726999999999</v>
      </c>
      <c r="Q16" s="119">
        <f t="shared" si="25"/>
        <v>116.08947777508492</v>
      </c>
    </row>
    <row r="17" spans="1:20" s="83" customFormat="1" ht="58.5" x14ac:dyDescent="0.25">
      <c r="A17" s="80" t="s">
        <v>118</v>
      </c>
      <c r="B17" s="174" t="s">
        <v>162</v>
      </c>
      <c r="C17" s="262" t="s">
        <v>170</v>
      </c>
      <c r="D17" s="120">
        <f>SUM(D18:D19)</f>
        <v>153000</v>
      </c>
      <c r="E17" s="120">
        <f>SUM(E18:E19)</f>
        <v>153000</v>
      </c>
      <c r="F17" s="121">
        <f t="shared" si="16"/>
        <v>13410.271999999999</v>
      </c>
      <c r="G17" s="120">
        <f t="shared" ref="G17:H17" si="27">SUM(G18:G19)</f>
        <v>13410.271999999999</v>
      </c>
      <c r="H17" s="120">
        <f t="shared" si="27"/>
        <v>12880</v>
      </c>
      <c r="I17" s="120">
        <f t="shared" si="17"/>
        <v>530.27199999999903</v>
      </c>
      <c r="J17" s="194">
        <f t="shared" si="18"/>
        <v>104.11701863354037</v>
      </c>
      <c r="K17" s="120">
        <f t="shared" si="19"/>
        <v>12750</v>
      </c>
      <c r="L17" s="120">
        <f t="shared" si="20"/>
        <v>660.27199999999903</v>
      </c>
      <c r="M17" s="194">
        <f t="shared" si="21"/>
        <v>105.17860392156861</v>
      </c>
      <c r="N17" s="194">
        <f t="shared" si="22"/>
        <v>8.7648836601307174</v>
      </c>
      <c r="O17" s="121">
        <f>SUM(O18:O19)</f>
        <v>11182.674000000001</v>
      </c>
      <c r="P17" s="122">
        <f t="shared" si="23"/>
        <v>2227.5979999999981</v>
      </c>
      <c r="Q17" s="123">
        <f t="shared" si="25"/>
        <v>119.92008351490885</v>
      </c>
    </row>
    <row r="18" spans="1:20" s="83" customFormat="1" ht="39" x14ac:dyDescent="0.25">
      <c r="A18" s="80" t="s">
        <v>158</v>
      </c>
      <c r="B18" s="174" t="s">
        <v>91</v>
      </c>
      <c r="C18" s="262"/>
      <c r="D18" s="120">
        <v>34000</v>
      </c>
      <c r="E18" s="120">
        <v>34000</v>
      </c>
      <c r="F18" s="121">
        <f t="shared" si="16"/>
        <v>1880.6579999999999</v>
      </c>
      <c r="G18" s="120">
        <v>1880.6579999999999</v>
      </c>
      <c r="H18" s="120">
        <v>1880</v>
      </c>
      <c r="I18" s="120">
        <f t="shared" si="17"/>
        <v>0.65799999999990177</v>
      </c>
      <c r="J18" s="194">
        <f t="shared" si="18"/>
        <v>100.03499999999998</v>
      </c>
      <c r="K18" s="120">
        <f t="shared" si="19"/>
        <v>2833.3333333333335</v>
      </c>
      <c r="L18" s="120">
        <f t="shared" si="20"/>
        <v>-952.67533333333358</v>
      </c>
      <c r="M18" s="194">
        <f t="shared" si="21"/>
        <v>66.376164705882346</v>
      </c>
      <c r="N18" s="194">
        <f t="shared" si="22"/>
        <v>5.5313470588235294</v>
      </c>
      <c r="O18" s="121">
        <v>766.33199999999999</v>
      </c>
      <c r="P18" s="122">
        <f t="shared" si="23"/>
        <v>1114.326</v>
      </c>
      <c r="Q18" s="123">
        <f t="shared" si="25"/>
        <v>245.41034434161696</v>
      </c>
      <c r="R18" s="81">
        <f>O18+O19</f>
        <v>11182.674000000001</v>
      </c>
      <c r="S18" s="81">
        <f>F18+F19</f>
        <v>13410.271999999999</v>
      </c>
    </row>
    <row r="19" spans="1:20" s="83" customFormat="1" ht="39" x14ac:dyDescent="0.25">
      <c r="A19" s="80" t="s">
        <v>159</v>
      </c>
      <c r="B19" s="174" t="s">
        <v>92</v>
      </c>
      <c r="C19" s="262"/>
      <c r="D19" s="120">
        <v>119000</v>
      </c>
      <c r="E19" s="120">
        <v>119000</v>
      </c>
      <c r="F19" s="121">
        <f t="shared" si="16"/>
        <v>11529.614</v>
      </c>
      <c r="G19" s="120">
        <v>11529.614</v>
      </c>
      <c r="H19" s="120">
        <v>11000</v>
      </c>
      <c r="I19" s="120">
        <f t="shared" si="17"/>
        <v>529.61399999999958</v>
      </c>
      <c r="J19" s="194">
        <f t="shared" si="18"/>
        <v>104.81467272727272</v>
      </c>
      <c r="K19" s="120">
        <f t="shared" si="19"/>
        <v>9916.6666666666661</v>
      </c>
      <c r="L19" s="120">
        <f t="shared" si="20"/>
        <v>1612.9473333333335</v>
      </c>
      <c r="M19" s="194">
        <f t="shared" si="21"/>
        <v>116.26501512605043</v>
      </c>
      <c r="N19" s="194">
        <f t="shared" si="22"/>
        <v>9.6887512605042012</v>
      </c>
      <c r="O19" s="121">
        <v>10416.342000000001</v>
      </c>
      <c r="P19" s="122">
        <f t="shared" si="23"/>
        <v>1113.271999999999</v>
      </c>
      <c r="Q19" s="123">
        <f t="shared" si="25"/>
        <v>110.68774431561481</v>
      </c>
    </row>
    <row r="20" spans="1:20" s="83" customFormat="1" ht="58.5" x14ac:dyDescent="0.25">
      <c r="A20" s="80" t="s">
        <v>119</v>
      </c>
      <c r="B20" s="174" t="s">
        <v>93</v>
      </c>
      <c r="C20" s="67" t="s">
        <v>56</v>
      </c>
      <c r="D20" s="120">
        <f t="shared" ref="D20" si="28">SUM(D21:D22)</f>
        <v>306000</v>
      </c>
      <c r="E20" s="120">
        <f t="shared" ref="E20" si="29">SUM(E21:E22)</f>
        <v>306000</v>
      </c>
      <c r="F20" s="121">
        <f t="shared" si="16"/>
        <v>27108.558000000001</v>
      </c>
      <c r="G20" s="120">
        <f t="shared" ref="G20:H20" si="30">SUM(G21:G22)</f>
        <v>27108.558000000001</v>
      </c>
      <c r="H20" s="120">
        <f t="shared" si="30"/>
        <v>26400</v>
      </c>
      <c r="I20" s="120">
        <f t="shared" si="17"/>
        <v>708.5580000000009</v>
      </c>
      <c r="J20" s="194">
        <f t="shared" si="18"/>
        <v>102.68393181818183</v>
      </c>
      <c r="K20" s="120">
        <f t="shared" si="19"/>
        <v>25500</v>
      </c>
      <c r="L20" s="120">
        <f t="shared" si="20"/>
        <v>1608.5580000000009</v>
      </c>
      <c r="M20" s="194">
        <f t="shared" si="21"/>
        <v>106.30807058823531</v>
      </c>
      <c r="N20" s="194">
        <f t="shared" si="22"/>
        <v>8.8590058823529407</v>
      </c>
      <c r="O20" s="121">
        <f>O21+O22</f>
        <v>23720.429</v>
      </c>
      <c r="P20" s="122">
        <f t="shared" si="23"/>
        <v>3388.1290000000008</v>
      </c>
      <c r="Q20" s="123">
        <f t="shared" si="25"/>
        <v>114.28359073944236</v>
      </c>
    </row>
    <row r="21" spans="1:20" s="83" customFormat="1" ht="136.5" x14ac:dyDescent="0.25">
      <c r="A21" s="80" t="s">
        <v>160</v>
      </c>
      <c r="B21" s="174" t="s">
        <v>133</v>
      </c>
      <c r="C21" s="67">
        <v>14040100</v>
      </c>
      <c r="D21" s="120">
        <v>179000</v>
      </c>
      <c r="E21" s="120">
        <v>179000</v>
      </c>
      <c r="F21" s="121">
        <f t="shared" si="16"/>
        <v>15616.876</v>
      </c>
      <c r="G21" s="120">
        <v>15616.876</v>
      </c>
      <c r="H21" s="120">
        <v>15000</v>
      </c>
      <c r="I21" s="120">
        <f t="shared" si="17"/>
        <v>616.8760000000002</v>
      </c>
      <c r="J21" s="194">
        <f t="shared" si="18"/>
        <v>104.11250666666668</v>
      </c>
      <c r="K21" s="120">
        <f t="shared" si="19"/>
        <v>14916.666666666666</v>
      </c>
      <c r="L21" s="120">
        <f t="shared" si="20"/>
        <v>700.20933333333414</v>
      </c>
      <c r="M21" s="194">
        <f t="shared" si="21"/>
        <v>104.69414078212291</v>
      </c>
      <c r="N21" s="194">
        <f t="shared" si="22"/>
        <v>8.7245117318435756</v>
      </c>
      <c r="O21" s="121">
        <v>13155.423000000001</v>
      </c>
      <c r="P21" s="122">
        <f t="shared" si="23"/>
        <v>2461.4529999999995</v>
      </c>
      <c r="Q21" s="123">
        <f t="shared" si="25"/>
        <v>118.71055761566922</v>
      </c>
    </row>
    <row r="22" spans="1:20" s="83" customFormat="1" ht="97.5" x14ac:dyDescent="0.25">
      <c r="A22" s="80" t="s">
        <v>161</v>
      </c>
      <c r="B22" s="174" t="s">
        <v>134</v>
      </c>
      <c r="C22" s="67">
        <v>14040200</v>
      </c>
      <c r="D22" s="120">
        <v>127000</v>
      </c>
      <c r="E22" s="120">
        <v>127000</v>
      </c>
      <c r="F22" s="121">
        <f t="shared" si="16"/>
        <v>11491.682000000001</v>
      </c>
      <c r="G22" s="120">
        <v>11491.682000000001</v>
      </c>
      <c r="H22" s="120">
        <v>11400</v>
      </c>
      <c r="I22" s="120">
        <f t="shared" si="17"/>
        <v>91.682000000000698</v>
      </c>
      <c r="J22" s="194">
        <f t="shared" si="18"/>
        <v>100.80422807017544</v>
      </c>
      <c r="K22" s="120">
        <f t="shared" si="19"/>
        <v>10583.333333333334</v>
      </c>
      <c r="L22" s="120">
        <f t="shared" si="20"/>
        <v>908.34866666666676</v>
      </c>
      <c r="M22" s="194">
        <f t="shared" si="21"/>
        <v>108.58282204724409</v>
      </c>
      <c r="N22" s="194">
        <f t="shared" si="22"/>
        <v>9.048568503937009</v>
      </c>
      <c r="O22" s="121">
        <v>10565.005999999999</v>
      </c>
      <c r="P22" s="122">
        <f t="shared" si="23"/>
        <v>926.6760000000013</v>
      </c>
      <c r="Q22" s="123">
        <f t="shared" si="25"/>
        <v>108.77118290325629</v>
      </c>
    </row>
    <row r="23" spans="1:20" s="105" customFormat="1" ht="23.25" x14ac:dyDescent="0.25">
      <c r="A23" s="75">
        <v>5</v>
      </c>
      <c r="B23" s="84" t="s">
        <v>135</v>
      </c>
      <c r="C23" s="76" t="s">
        <v>136</v>
      </c>
      <c r="D23" s="116">
        <v>0</v>
      </c>
      <c r="E23" s="116">
        <v>0</v>
      </c>
      <c r="F23" s="117">
        <f t="shared" si="16"/>
        <v>0</v>
      </c>
      <c r="G23" s="116">
        <v>0</v>
      </c>
      <c r="H23" s="116"/>
      <c r="I23" s="116">
        <f t="shared" si="17"/>
        <v>0</v>
      </c>
      <c r="J23" s="193"/>
      <c r="K23" s="116">
        <f t="shared" si="19"/>
        <v>0</v>
      </c>
      <c r="L23" s="116">
        <f t="shared" si="20"/>
        <v>0</v>
      </c>
      <c r="M23" s="193" t="e">
        <f t="shared" si="21"/>
        <v>#DIV/0!</v>
      </c>
      <c r="N23" s="193" t="e">
        <f t="shared" si="22"/>
        <v>#DIV/0!</v>
      </c>
      <c r="O23" s="117"/>
      <c r="P23" s="118">
        <f t="shared" si="23"/>
        <v>0</v>
      </c>
      <c r="Q23" s="119"/>
      <c r="R23" s="145"/>
      <c r="S23" s="145"/>
    </row>
    <row r="24" spans="1:20" s="105" customFormat="1" ht="58.5" x14ac:dyDescent="0.25">
      <c r="A24" s="75">
        <v>6</v>
      </c>
      <c r="B24" s="84" t="s">
        <v>132</v>
      </c>
      <c r="C24" s="76" t="s">
        <v>38</v>
      </c>
      <c r="D24" s="116">
        <f>D25+D26+D27+D29+D28</f>
        <v>1522620.5</v>
      </c>
      <c r="E24" s="116">
        <f>E25+E26+E27+E29+E28</f>
        <v>1522620.5</v>
      </c>
      <c r="F24" s="117">
        <f t="shared" si="16"/>
        <v>166303.29399999999</v>
      </c>
      <c r="G24" s="116">
        <f t="shared" ref="G24:H24" si="31">G25+G26+G27+G29+G28</f>
        <v>166303.29399999999</v>
      </c>
      <c r="H24" s="116">
        <f t="shared" si="31"/>
        <v>142090.891</v>
      </c>
      <c r="I24" s="116">
        <f t="shared" si="17"/>
        <v>24212.402999999991</v>
      </c>
      <c r="J24" s="193">
        <f t="shared" si="18"/>
        <v>117.04008105628671</v>
      </c>
      <c r="K24" s="116">
        <f t="shared" si="19"/>
        <v>126885.04166666667</v>
      </c>
      <c r="L24" s="116">
        <f t="shared" si="20"/>
        <v>39418.252333333323</v>
      </c>
      <c r="M24" s="193">
        <f t="shared" si="21"/>
        <v>131.06611450456629</v>
      </c>
      <c r="N24" s="193">
        <f t="shared" si="22"/>
        <v>10.922176208713859</v>
      </c>
      <c r="O24" s="117">
        <f t="shared" ref="O24" si="32">O25+O26+O27+O29+O28</f>
        <v>135837.954</v>
      </c>
      <c r="P24" s="118">
        <f t="shared" si="23"/>
        <v>30465.339999999997</v>
      </c>
      <c r="Q24" s="119">
        <f t="shared" ref="Q24:Q36" si="33">F24/O24*100</f>
        <v>122.42770823830283</v>
      </c>
      <c r="R24" s="145">
        <f>O26+O27+O25</f>
        <v>34982.108</v>
      </c>
      <c r="S24" s="145">
        <f>F25+F26+F27</f>
        <v>45992.17</v>
      </c>
    </row>
    <row r="25" spans="1:20" s="107" customFormat="1" ht="39" x14ac:dyDescent="0.25">
      <c r="A25" s="106" t="s">
        <v>137</v>
      </c>
      <c r="B25" s="175" t="s">
        <v>57</v>
      </c>
      <c r="C25" s="247" t="s">
        <v>44</v>
      </c>
      <c r="D25" s="120">
        <f>1130+29500+34000+106300</f>
        <v>170930</v>
      </c>
      <c r="E25" s="120">
        <f>1130+29500+34000+106300</f>
        <v>170930</v>
      </c>
      <c r="F25" s="121">
        <f t="shared" si="16"/>
        <v>22984.595000000001</v>
      </c>
      <c r="G25" s="120">
        <v>22984.595000000001</v>
      </c>
      <c r="H25" s="120">
        <v>17390.789000000001</v>
      </c>
      <c r="I25" s="120">
        <f t="shared" si="17"/>
        <v>5593.8060000000005</v>
      </c>
      <c r="J25" s="194">
        <f t="shared" si="18"/>
        <v>132.16533763936761</v>
      </c>
      <c r="K25" s="120">
        <f t="shared" si="19"/>
        <v>14244.166666666666</v>
      </c>
      <c r="L25" s="120">
        <f t="shared" si="20"/>
        <v>8740.4283333333351</v>
      </c>
      <c r="M25" s="194">
        <f t="shared" si="21"/>
        <v>161.36145790674547</v>
      </c>
      <c r="N25" s="194">
        <f t="shared" si="22"/>
        <v>13.446788158895457</v>
      </c>
      <c r="O25" s="121">
        <v>17215.075000000001</v>
      </c>
      <c r="P25" s="122">
        <f t="shared" si="23"/>
        <v>5769.52</v>
      </c>
      <c r="Q25" s="123">
        <f t="shared" si="33"/>
        <v>133.51434716375036</v>
      </c>
    </row>
    <row r="26" spans="1:20" s="107" customFormat="1" ht="23.25" x14ac:dyDescent="0.25">
      <c r="A26" s="80" t="s">
        <v>138</v>
      </c>
      <c r="B26" s="175" t="s">
        <v>7</v>
      </c>
      <c r="C26" s="247"/>
      <c r="D26" s="120">
        <f>139000+145000+28500+14000</f>
        <v>326500</v>
      </c>
      <c r="E26" s="120">
        <f>139000+145000+28500+14000</f>
        <v>326500</v>
      </c>
      <c r="F26" s="121">
        <f t="shared" si="16"/>
        <v>22702.334999999999</v>
      </c>
      <c r="G26" s="120">
        <v>22702.334999999999</v>
      </c>
      <c r="H26" s="120">
        <v>20195</v>
      </c>
      <c r="I26" s="120">
        <f t="shared" si="17"/>
        <v>2507.3349999999991</v>
      </c>
      <c r="J26" s="194">
        <f t="shared" si="18"/>
        <v>112.41562267888089</v>
      </c>
      <c r="K26" s="120">
        <f t="shared" si="19"/>
        <v>27208.333333333332</v>
      </c>
      <c r="L26" s="120">
        <f t="shared" si="20"/>
        <v>-4505.998333333333</v>
      </c>
      <c r="M26" s="194">
        <f t="shared" si="21"/>
        <v>83.438903522205209</v>
      </c>
      <c r="N26" s="194">
        <f t="shared" si="22"/>
        <v>6.9532419601837674</v>
      </c>
      <c r="O26" s="121">
        <v>17562.599999999999</v>
      </c>
      <c r="P26" s="122">
        <f t="shared" si="23"/>
        <v>5139.7350000000006</v>
      </c>
      <c r="Q26" s="123">
        <f t="shared" si="33"/>
        <v>129.26522838304123</v>
      </c>
    </row>
    <row r="27" spans="1:20" s="107" customFormat="1" ht="23.25" x14ac:dyDescent="0.25">
      <c r="A27" s="80" t="s">
        <v>139</v>
      </c>
      <c r="B27" s="175" t="s">
        <v>58</v>
      </c>
      <c r="C27" s="247"/>
      <c r="D27" s="120">
        <f>1000+980.5</f>
        <v>1980.5</v>
      </c>
      <c r="E27" s="120">
        <f>1000+980.5</f>
        <v>1980.5</v>
      </c>
      <c r="F27" s="121">
        <f t="shared" si="16"/>
        <v>305.24</v>
      </c>
      <c r="G27" s="120">
        <v>305.24</v>
      </c>
      <c r="H27" s="120">
        <v>264</v>
      </c>
      <c r="I27" s="120">
        <f t="shared" si="17"/>
        <v>41.240000000000009</v>
      </c>
      <c r="J27" s="194">
        <f t="shared" si="18"/>
        <v>115.62121212121212</v>
      </c>
      <c r="K27" s="120">
        <f t="shared" si="19"/>
        <v>165.04166666666666</v>
      </c>
      <c r="L27" s="120">
        <f t="shared" si="20"/>
        <v>140.19833333333335</v>
      </c>
      <c r="M27" s="194">
        <f t="shared" si="21"/>
        <v>184.94723554657918</v>
      </c>
      <c r="N27" s="194">
        <f t="shared" si="22"/>
        <v>15.412269628881594</v>
      </c>
      <c r="O27" s="121">
        <v>204.43299999999999</v>
      </c>
      <c r="P27" s="122">
        <f t="shared" si="23"/>
        <v>100.80700000000002</v>
      </c>
      <c r="Q27" s="123">
        <f t="shared" si="33"/>
        <v>149.31053205695756</v>
      </c>
      <c r="R27" s="123">
        <f>100-Q27</f>
        <v>-49.310532056957555</v>
      </c>
      <c r="S27" s="108"/>
      <c r="T27" s="109" t="e">
        <f>F25/#REF!*100</f>
        <v>#REF!</v>
      </c>
    </row>
    <row r="28" spans="1:20" s="111" customFormat="1" ht="23.25" x14ac:dyDescent="0.25">
      <c r="A28" s="80" t="s">
        <v>140</v>
      </c>
      <c r="B28" s="175" t="s">
        <v>40</v>
      </c>
      <c r="C28" s="110" t="s">
        <v>39</v>
      </c>
      <c r="D28" s="120">
        <v>2710</v>
      </c>
      <c r="E28" s="120">
        <v>2710</v>
      </c>
      <c r="F28" s="121">
        <f t="shared" si="16"/>
        <v>229.9</v>
      </c>
      <c r="G28" s="120">
        <v>229.9</v>
      </c>
      <c r="H28" s="120">
        <v>132.80000000000001</v>
      </c>
      <c r="I28" s="120">
        <f t="shared" si="17"/>
        <v>97.1</v>
      </c>
      <c r="J28" s="194">
        <f t="shared" si="18"/>
        <v>173.11746987951807</v>
      </c>
      <c r="K28" s="120">
        <f t="shared" si="19"/>
        <v>225.83333333333334</v>
      </c>
      <c r="L28" s="120">
        <f t="shared" si="20"/>
        <v>4.0666666666666629</v>
      </c>
      <c r="M28" s="194">
        <f t="shared" si="21"/>
        <v>101.80073800738008</v>
      </c>
      <c r="N28" s="194">
        <f t="shared" si="22"/>
        <v>8.4833948339483385</v>
      </c>
      <c r="O28" s="121">
        <v>138.30099999999999</v>
      </c>
      <c r="P28" s="120">
        <f t="shared" si="23"/>
        <v>91.599000000000018</v>
      </c>
      <c r="Q28" s="123">
        <f t="shared" si="33"/>
        <v>166.23162522324498</v>
      </c>
    </row>
    <row r="29" spans="1:20" s="107" customFormat="1" ht="23.25" x14ac:dyDescent="0.25">
      <c r="A29" s="80" t="s">
        <v>141</v>
      </c>
      <c r="B29" s="175" t="s">
        <v>33</v>
      </c>
      <c r="C29" s="142" t="s">
        <v>34</v>
      </c>
      <c r="D29" s="120">
        <v>1020500</v>
      </c>
      <c r="E29" s="120">
        <v>1020500</v>
      </c>
      <c r="F29" s="121">
        <f t="shared" si="16"/>
        <v>120081.224</v>
      </c>
      <c r="G29" s="120">
        <v>120081.224</v>
      </c>
      <c r="H29" s="120">
        <v>104108.302</v>
      </c>
      <c r="I29" s="120">
        <f t="shared" si="17"/>
        <v>15972.922000000006</v>
      </c>
      <c r="J29" s="194">
        <f t="shared" si="18"/>
        <v>115.34260159194605</v>
      </c>
      <c r="K29" s="120">
        <f t="shared" si="19"/>
        <v>85041.666666666672</v>
      </c>
      <c r="L29" s="120">
        <f t="shared" si="20"/>
        <v>35039.55733333333</v>
      </c>
      <c r="M29" s="194">
        <f t="shared" si="21"/>
        <v>141.20281117099461</v>
      </c>
      <c r="N29" s="194">
        <f t="shared" si="22"/>
        <v>11.766900930916217</v>
      </c>
      <c r="O29" s="121">
        <v>100717.545</v>
      </c>
      <c r="P29" s="122">
        <f t="shared" si="23"/>
        <v>19363.679000000004</v>
      </c>
      <c r="Q29" s="123">
        <f t="shared" si="33"/>
        <v>119.22572576605199</v>
      </c>
      <c r="S29" s="108"/>
      <c r="T29" s="109" t="e">
        <f>F29/#REF!*100</f>
        <v>#REF!</v>
      </c>
    </row>
    <row r="30" spans="1:20" s="79" customFormat="1" ht="58.5" x14ac:dyDescent="0.25">
      <c r="A30" s="75">
        <v>7</v>
      </c>
      <c r="B30" s="84" t="s">
        <v>46</v>
      </c>
      <c r="C30" s="76" t="s">
        <v>17</v>
      </c>
      <c r="D30" s="116">
        <v>1900</v>
      </c>
      <c r="E30" s="116">
        <v>1900</v>
      </c>
      <c r="F30" s="117">
        <f t="shared" si="16"/>
        <v>73</v>
      </c>
      <c r="G30" s="116">
        <v>73</v>
      </c>
      <c r="H30" s="116">
        <v>73</v>
      </c>
      <c r="I30" s="116">
        <f t="shared" si="17"/>
        <v>0</v>
      </c>
      <c r="J30" s="193">
        <f t="shared" si="18"/>
        <v>100</v>
      </c>
      <c r="K30" s="116">
        <f t="shared" si="19"/>
        <v>158.33333333333334</v>
      </c>
      <c r="L30" s="116">
        <f t="shared" si="20"/>
        <v>-85.333333333333343</v>
      </c>
      <c r="M30" s="193">
        <f t="shared" si="21"/>
        <v>46.105263157894733</v>
      </c>
      <c r="N30" s="193">
        <f t="shared" si="22"/>
        <v>3.8421052631578947</v>
      </c>
      <c r="O30" s="117">
        <v>1.22</v>
      </c>
      <c r="P30" s="118">
        <f t="shared" si="23"/>
        <v>71.78</v>
      </c>
      <c r="Q30" s="119">
        <f t="shared" si="33"/>
        <v>5983.6065573770493</v>
      </c>
      <c r="R30" s="78">
        <f>100-Q30</f>
        <v>-5883.6065573770493</v>
      </c>
    </row>
    <row r="31" spans="1:20" s="79" customFormat="1" ht="39" x14ac:dyDescent="0.25">
      <c r="A31" s="75">
        <f t="shared" ref="A31:A39" si="34">A30+1</f>
        <v>8</v>
      </c>
      <c r="B31" s="84" t="s">
        <v>70</v>
      </c>
      <c r="C31" s="76" t="s">
        <v>69</v>
      </c>
      <c r="D31" s="116">
        <v>20000</v>
      </c>
      <c r="E31" s="116">
        <v>20000</v>
      </c>
      <c r="F31" s="117">
        <f t="shared" si="16"/>
        <v>0</v>
      </c>
      <c r="G31" s="116">
        <v>0</v>
      </c>
      <c r="H31" s="116">
        <v>0</v>
      </c>
      <c r="I31" s="116">
        <f t="shared" si="17"/>
        <v>0</v>
      </c>
      <c r="J31" s="193"/>
      <c r="K31" s="116">
        <f t="shared" si="19"/>
        <v>1666.6666666666667</v>
      </c>
      <c r="L31" s="116">
        <f t="shared" si="20"/>
        <v>-1666.6666666666667</v>
      </c>
      <c r="M31" s="193">
        <f t="shared" si="21"/>
        <v>0</v>
      </c>
      <c r="N31" s="193">
        <f t="shared" si="22"/>
        <v>0</v>
      </c>
      <c r="O31" s="117">
        <v>0</v>
      </c>
      <c r="P31" s="118">
        <f t="shared" si="23"/>
        <v>0</v>
      </c>
      <c r="Q31" s="119" t="e">
        <f t="shared" si="33"/>
        <v>#DIV/0!</v>
      </c>
    </row>
    <row r="32" spans="1:20" s="79" customFormat="1" ht="23.25" x14ac:dyDescent="0.25">
      <c r="A32" s="75">
        <f t="shared" si="34"/>
        <v>9</v>
      </c>
      <c r="B32" s="84" t="s">
        <v>8</v>
      </c>
      <c r="C32" s="76" t="s">
        <v>18</v>
      </c>
      <c r="D32" s="116">
        <v>500</v>
      </c>
      <c r="E32" s="116">
        <v>500</v>
      </c>
      <c r="F32" s="117">
        <f t="shared" si="16"/>
        <v>0</v>
      </c>
      <c r="G32" s="116">
        <v>0</v>
      </c>
      <c r="H32" s="116">
        <v>0</v>
      </c>
      <c r="I32" s="116">
        <f t="shared" si="17"/>
        <v>0</v>
      </c>
      <c r="J32" s="193"/>
      <c r="K32" s="116">
        <f t="shared" si="19"/>
        <v>41.666666666666664</v>
      </c>
      <c r="L32" s="116">
        <f t="shared" si="20"/>
        <v>-41.666666666666664</v>
      </c>
      <c r="M32" s="193">
        <f t="shared" si="21"/>
        <v>0</v>
      </c>
      <c r="N32" s="193">
        <f t="shared" si="22"/>
        <v>0</v>
      </c>
      <c r="O32" s="117">
        <v>87.316999999999993</v>
      </c>
      <c r="P32" s="118">
        <f t="shared" si="23"/>
        <v>-87.316999999999993</v>
      </c>
      <c r="Q32" s="119">
        <f t="shared" si="33"/>
        <v>0</v>
      </c>
    </row>
    <row r="33" spans="1:21" s="79" customFormat="1" ht="97.5" x14ac:dyDescent="0.25">
      <c r="A33" s="75">
        <f t="shared" si="34"/>
        <v>10</v>
      </c>
      <c r="B33" s="135" t="s">
        <v>88</v>
      </c>
      <c r="C33" s="100" t="s">
        <v>89</v>
      </c>
      <c r="D33" s="116">
        <v>5</v>
      </c>
      <c r="E33" s="116">
        <v>5</v>
      </c>
      <c r="F33" s="117">
        <f t="shared" si="16"/>
        <v>0</v>
      </c>
      <c r="G33" s="116">
        <v>0</v>
      </c>
      <c r="H33" s="116">
        <v>0</v>
      </c>
      <c r="I33" s="116">
        <f t="shared" si="17"/>
        <v>0</v>
      </c>
      <c r="J33" s="193"/>
      <c r="K33" s="116">
        <f t="shared" si="19"/>
        <v>0.41666666666666669</v>
      </c>
      <c r="L33" s="116">
        <f t="shared" si="20"/>
        <v>-0.41666666666666669</v>
      </c>
      <c r="M33" s="193">
        <f t="shared" si="21"/>
        <v>0</v>
      </c>
      <c r="N33" s="193">
        <f t="shared" si="22"/>
        <v>0</v>
      </c>
      <c r="O33" s="117">
        <v>7.4999999999999997E-2</v>
      </c>
      <c r="P33" s="118">
        <f t="shared" si="23"/>
        <v>-7.4999999999999997E-2</v>
      </c>
      <c r="Q33" s="119">
        <f t="shared" si="33"/>
        <v>0</v>
      </c>
    </row>
    <row r="34" spans="1:21" s="79" customFormat="1" ht="23.25" x14ac:dyDescent="0.25">
      <c r="A34" s="75">
        <f t="shared" si="34"/>
        <v>11</v>
      </c>
      <c r="B34" s="131" t="s">
        <v>30</v>
      </c>
      <c r="C34" s="76" t="s">
        <v>24</v>
      </c>
      <c r="D34" s="116">
        <v>16000</v>
      </c>
      <c r="E34" s="116">
        <v>16000</v>
      </c>
      <c r="F34" s="117">
        <f t="shared" si="16"/>
        <v>1249.509</v>
      </c>
      <c r="G34" s="116">
        <v>1249.509</v>
      </c>
      <c r="H34" s="116">
        <v>1000</v>
      </c>
      <c r="I34" s="116">
        <f t="shared" si="17"/>
        <v>249.50900000000001</v>
      </c>
      <c r="J34" s="193">
        <f t="shared" si="18"/>
        <v>124.9509</v>
      </c>
      <c r="K34" s="116">
        <f t="shared" si="19"/>
        <v>1333.3333333333333</v>
      </c>
      <c r="L34" s="116">
        <f t="shared" si="20"/>
        <v>-83.824333333333243</v>
      </c>
      <c r="M34" s="193">
        <f t="shared" si="21"/>
        <v>93.713175000000007</v>
      </c>
      <c r="N34" s="193">
        <f t="shared" si="22"/>
        <v>7.8094312500000003</v>
      </c>
      <c r="O34" s="117">
        <v>808.93100000000004</v>
      </c>
      <c r="P34" s="118">
        <f t="shared" si="23"/>
        <v>440.57799999999997</v>
      </c>
      <c r="Q34" s="119">
        <f t="shared" si="33"/>
        <v>154.46422500806619</v>
      </c>
      <c r="R34" s="78">
        <f>100-Q34</f>
        <v>-54.464225008066194</v>
      </c>
    </row>
    <row r="35" spans="1:21" s="79" customFormat="1" ht="58.5" x14ac:dyDescent="0.25">
      <c r="A35" s="75">
        <f t="shared" si="34"/>
        <v>12</v>
      </c>
      <c r="B35" s="131" t="s">
        <v>81</v>
      </c>
      <c r="C35" s="76" t="s">
        <v>80</v>
      </c>
      <c r="D35" s="116">
        <v>760</v>
      </c>
      <c r="E35" s="116">
        <v>760</v>
      </c>
      <c r="F35" s="117">
        <f t="shared" si="16"/>
        <v>6.8</v>
      </c>
      <c r="G35" s="116">
        <v>6.8</v>
      </c>
      <c r="H35" s="116">
        <v>0</v>
      </c>
      <c r="I35" s="116">
        <f t="shared" si="17"/>
        <v>6.8</v>
      </c>
      <c r="J35" s="193"/>
      <c r="K35" s="116">
        <f t="shared" si="19"/>
        <v>63.333333333333336</v>
      </c>
      <c r="L35" s="116">
        <f t="shared" si="20"/>
        <v>-56.533333333333339</v>
      </c>
      <c r="M35" s="193">
        <f t="shared" si="21"/>
        <v>10.736842105263158</v>
      </c>
      <c r="N35" s="193">
        <f t="shared" si="22"/>
        <v>0.89473684210526305</v>
      </c>
      <c r="O35" s="117">
        <v>26</v>
      </c>
      <c r="P35" s="118">
        <f t="shared" si="23"/>
        <v>-19.2</v>
      </c>
      <c r="Q35" s="119">
        <f t="shared" si="33"/>
        <v>26.153846153846157</v>
      </c>
    </row>
    <row r="36" spans="1:21" s="79" customFormat="1" ht="23.25" x14ac:dyDescent="0.25">
      <c r="A36" s="75">
        <f t="shared" si="34"/>
        <v>13</v>
      </c>
      <c r="B36" s="131" t="s">
        <v>107</v>
      </c>
      <c r="C36" s="76" t="s">
        <v>108</v>
      </c>
      <c r="D36" s="116">
        <v>21300</v>
      </c>
      <c r="E36" s="116">
        <v>21300</v>
      </c>
      <c r="F36" s="117">
        <f t="shared" si="16"/>
        <v>1536.7550000000001</v>
      </c>
      <c r="G36" s="116">
        <v>1536.7550000000001</v>
      </c>
      <c r="H36" s="116">
        <v>1400</v>
      </c>
      <c r="I36" s="116">
        <f t="shared" si="17"/>
        <v>136.75500000000011</v>
      </c>
      <c r="J36" s="193">
        <f t="shared" si="18"/>
        <v>109.76821428571428</v>
      </c>
      <c r="K36" s="116">
        <f t="shared" si="19"/>
        <v>1775</v>
      </c>
      <c r="L36" s="116">
        <f t="shared" si="20"/>
        <v>-238.24499999999989</v>
      </c>
      <c r="M36" s="193">
        <f t="shared" si="21"/>
        <v>86.577746478873237</v>
      </c>
      <c r="N36" s="193">
        <f t="shared" si="22"/>
        <v>7.2148122065727707</v>
      </c>
      <c r="O36" s="117">
        <v>1414.5129999999999</v>
      </c>
      <c r="P36" s="118">
        <f t="shared" si="23"/>
        <v>122.24200000000019</v>
      </c>
      <c r="Q36" s="119">
        <f t="shared" si="33"/>
        <v>108.64198490929388</v>
      </c>
    </row>
    <row r="37" spans="1:21" s="79" customFormat="1" ht="58.5" x14ac:dyDescent="0.25">
      <c r="A37" s="75">
        <f>A36+1</f>
        <v>14</v>
      </c>
      <c r="B37" s="131" t="s">
        <v>144</v>
      </c>
      <c r="C37" s="76" t="s">
        <v>143</v>
      </c>
      <c r="D37" s="116">
        <v>3800</v>
      </c>
      <c r="E37" s="116">
        <v>3800</v>
      </c>
      <c r="F37" s="117">
        <f t="shared" si="16"/>
        <v>143.596</v>
      </c>
      <c r="G37" s="116">
        <v>143.596</v>
      </c>
      <c r="H37" s="116">
        <v>137</v>
      </c>
      <c r="I37" s="116">
        <f t="shared" si="17"/>
        <v>6.5960000000000036</v>
      </c>
      <c r="J37" s="193">
        <f t="shared" si="18"/>
        <v>104.81459854014599</v>
      </c>
      <c r="K37" s="116">
        <f t="shared" si="19"/>
        <v>316.66666666666669</v>
      </c>
      <c r="L37" s="116">
        <f t="shared" si="20"/>
        <v>-173.07066666666668</v>
      </c>
      <c r="M37" s="193">
        <f t="shared" si="21"/>
        <v>45.346105263157895</v>
      </c>
      <c r="N37" s="193">
        <f t="shared" si="22"/>
        <v>3.7788421052631582</v>
      </c>
      <c r="O37" s="117">
        <v>0</v>
      </c>
      <c r="P37" s="118">
        <f t="shared" si="23"/>
        <v>143.596</v>
      </c>
      <c r="Q37" s="119"/>
    </row>
    <row r="38" spans="1:21" s="79" customFormat="1" ht="97.5" x14ac:dyDescent="0.25">
      <c r="A38" s="75">
        <f t="shared" si="34"/>
        <v>15</v>
      </c>
      <c r="B38" s="131" t="s">
        <v>129</v>
      </c>
      <c r="C38" s="76" t="s">
        <v>130</v>
      </c>
      <c r="D38" s="116">
        <v>50</v>
      </c>
      <c r="E38" s="116">
        <v>50</v>
      </c>
      <c r="F38" s="117">
        <f t="shared" si="16"/>
        <v>3.55</v>
      </c>
      <c r="G38" s="116">
        <v>3.55</v>
      </c>
      <c r="H38" s="116">
        <v>2</v>
      </c>
      <c r="I38" s="116">
        <f t="shared" si="17"/>
        <v>1.5499999999999998</v>
      </c>
      <c r="J38" s="193">
        <f t="shared" si="18"/>
        <v>177.5</v>
      </c>
      <c r="K38" s="116">
        <f t="shared" si="19"/>
        <v>4.166666666666667</v>
      </c>
      <c r="L38" s="116">
        <f t="shared" si="20"/>
        <v>-0.61666666666666714</v>
      </c>
      <c r="M38" s="193">
        <f t="shared" si="21"/>
        <v>85.199999999999989</v>
      </c>
      <c r="N38" s="193">
        <f t="shared" si="22"/>
        <v>7.1</v>
      </c>
      <c r="O38" s="117">
        <v>1.99</v>
      </c>
      <c r="P38" s="118">
        <f t="shared" si="23"/>
        <v>1.5599999999999998</v>
      </c>
      <c r="Q38" s="119">
        <f t="shared" ref="Q38:Q46" si="35">F38/O38*100</f>
        <v>178.39195979899495</v>
      </c>
    </row>
    <row r="39" spans="1:21" s="79" customFormat="1" ht="23.25" x14ac:dyDescent="0.25">
      <c r="A39" s="75">
        <f t="shared" si="34"/>
        <v>16</v>
      </c>
      <c r="B39" s="131" t="s">
        <v>83</v>
      </c>
      <c r="C39" s="76" t="s">
        <v>82</v>
      </c>
      <c r="D39" s="116">
        <f>SUM(D40:D43)</f>
        <v>40666</v>
      </c>
      <c r="E39" s="116">
        <f>SUM(E40:E43)</f>
        <v>40666</v>
      </c>
      <c r="F39" s="117">
        <f t="shared" si="16"/>
        <v>1954.4259999999999</v>
      </c>
      <c r="G39" s="116">
        <f t="shared" ref="G39:H39" si="36">SUM(G40:G43)</f>
        <v>1954.4259999999999</v>
      </c>
      <c r="H39" s="116">
        <f t="shared" si="36"/>
        <v>1860</v>
      </c>
      <c r="I39" s="116">
        <f t="shared" si="17"/>
        <v>94.425999999999931</v>
      </c>
      <c r="J39" s="193">
        <f t="shared" si="18"/>
        <v>105.07666666666667</v>
      </c>
      <c r="K39" s="116">
        <f t="shared" si="19"/>
        <v>3388.8333333333335</v>
      </c>
      <c r="L39" s="116">
        <f t="shared" si="20"/>
        <v>-1434.4073333333336</v>
      </c>
      <c r="M39" s="193">
        <f t="shared" si="21"/>
        <v>57.672532336595673</v>
      </c>
      <c r="N39" s="193">
        <f t="shared" si="22"/>
        <v>4.8060443613829733</v>
      </c>
      <c r="O39" s="117">
        <f t="shared" ref="O39" si="37">SUM(O40:O43)</f>
        <v>2787.4590000000003</v>
      </c>
      <c r="P39" s="118">
        <f t="shared" si="23"/>
        <v>-833.03300000000036</v>
      </c>
      <c r="Q39" s="119">
        <f t="shared" si="35"/>
        <v>70.114968507160086</v>
      </c>
    </row>
    <row r="40" spans="1:21" s="83" customFormat="1" ht="58.5" x14ac:dyDescent="0.25">
      <c r="A40" s="80" t="s">
        <v>145</v>
      </c>
      <c r="B40" s="132" t="s">
        <v>75</v>
      </c>
      <c r="C40" s="142" t="s">
        <v>74</v>
      </c>
      <c r="D40" s="120">
        <v>1700</v>
      </c>
      <c r="E40" s="120">
        <v>1700</v>
      </c>
      <c r="F40" s="121">
        <f t="shared" si="16"/>
        <v>93.847999999999999</v>
      </c>
      <c r="G40" s="120">
        <v>93.847999999999999</v>
      </c>
      <c r="H40" s="120">
        <v>86</v>
      </c>
      <c r="I40" s="120">
        <f t="shared" si="17"/>
        <v>7.847999999999999</v>
      </c>
      <c r="J40" s="194">
        <f t="shared" si="18"/>
        <v>109.12558139534883</v>
      </c>
      <c r="K40" s="120">
        <f t="shared" si="19"/>
        <v>141.66666666666666</v>
      </c>
      <c r="L40" s="120">
        <f t="shared" si="20"/>
        <v>-47.818666666666658</v>
      </c>
      <c r="M40" s="194">
        <f t="shared" si="21"/>
        <v>66.245647058823536</v>
      </c>
      <c r="N40" s="194">
        <f t="shared" si="22"/>
        <v>5.5204705882352938</v>
      </c>
      <c r="O40" s="121">
        <v>84.753</v>
      </c>
      <c r="P40" s="122">
        <f t="shared" si="23"/>
        <v>9.0949999999999989</v>
      </c>
      <c r="Q40" s="123">
        <f t="shared" si="35"/>
        <v>110.73118355692424</v>
      </c>
      <c r="R40" s="123">
        <f>Q40-100</f>
        <v>10.731183556924236</v>
      </c>
      <c r="S40" s="81"/>
    </row>
    <row r="41" spans="1:21" s="83" customFormat="1" ht="23.25" x14ac:dyDescent="0.25">
      <c r="A41" s="80" t="s">
        <v>146</v>
      </c>
      <c r="B41" s="133" t="s">
        <v>59</v>
      </c>
      <c r="C41" s="67" t="s">
        <v>60</v>
      </c>
      <c r="D41" s="120">
        <v>38000</v>
      </c>
      <c r="E41" s="120">
        <v>38000</v>
      </c>
      <c r="F41" s="121">
        <f t="shared" si="16"/>
        <v>1766.578</v>
      </c>
      <c r="G41" s="120">
        <v>1766.578</v>
      </c>
      <c r="H41" s="120">
        <v>1685</v>
      </c>
      <c r="I41" s="120">
        <f t="shared" si="17"/>
        <v>81.577999999999975</v>
      </c>
      <c r="J41" s="194">
        <f t="shared" si="18"/>
        <v>104.8414243323442</v>
      </c>
      <c r="K41" s="120">
        <f t="shared" si="19"/>
        <v>3166.6666666666665</v>
      </c>
      <c r="L41" s="120">
        <f t="shared" si="20"/>
        <v>-1400.0886666666665</v>
      </c>
      <c r="M41" s="194">
        <f t="shared" si="21"/>
        <v>55.786673684210527</v>
      </c>
      <c r="N41" s="194">
        <f t="shared" si="22"/>
        <v>4.6488894736842106</v>
      </c>
      <c r="O41" s="121">
        <v>2625.3359999999998</v>
      </c>
      <c r="P41" s="122">
        <f t="shared" si="23"/>
        <v>-858.75799999999981</v>
      </c>
      <c r="Q41" s="123">
        <f t="shared" si="35"/>
        <v>67.289596455463226</v>
      </c>
      <c r="R41" s="123">
        <f>Q41-100</f>
        <v>-32.710403544536774</v>
      </c>
      <c r="S41" s="82"/>
    </row>
    <row r="42" spans="1:21" s="83" customFormat="1" ht="39" x14ac:dyDescent="0.25">
      <c r="A42" s="80" t="s">
        <v>147</v>
      </c>
      <c r="B42" s="133" t="s">
        <v>79</v>
      </c>
      <c r="C42" s="67" t="s">
        <v>76</v>
      </c>
      <c r="D42" s="120">
        <v>850</v>
      </c>
      <c r="E42" s="120">
        <v>850</v>
      </c>
      <c r="F42" s="121">
        <f t="shared" ref="F42:F62" si="38">SUM(G42:G42)</f>
        <v>90.97</v>
      </c>
      <c r="G42" s="120">
        <v>90.97</v>
      </c>
      <c r="H42" s="120">
        <v>86</v>
      </c>
      <c r="I42" s="120">
        <f t="shared" si="17"/>
        <v>4.9699999999999989</v>
      </c>
      <c r="J42" s="194">
        <f t="shared" si="18"/>
        <v>105.77906976744187</v>
      </c>
      <c r="K42" s="120">
        <f t="shared" si="19"/>
        <v>70.833333333333329</v>
      </c>
      <c r="L42" s="120">
        <f t="shared" si="20"/>
        <v>20.13666666666667</v>
      </c>
      <c r="M42" s="194">
        <f t="shared" si="21"/>
        <v>128.42823529411766</v>
      </c>
      <c r="N42" s="194">
        <f t="shared" si="22"/>
        <v>10.70235294117647</v>
      </c>
      <c r="O42" s="121">
        <v>73.34</v>
      </c>
      <c r="P42" s="122">
        <f t="shared" ref="P42:P62" si="39">F42-O42</f>
        <v>17.629999999999995</v>
      </c>
      <c r="Q42" s="123">
        <f t="shared" si="35"/>
        <v>124.03872375238613</v>
      </c>
    </row>
    <row r="43" spans="1:21" s="83" customFormat="1" ht="136.5" x14ac:dyDescent="0.25">
      <c r="A43" s="80" t="s">
        <v>148</v>
      </c>
      <c r="B43" s="134" t="s">
        <v>78</v>
      </c>
      <c r="C43" s="67" t="s">
        <v>77</v>
      </c>
      <c r="D43" s="120">
        <v>116</v>
      </c>
      <c r="E43" s="120">
        <v>116</v>
      </c>
      <c r="F43" s="121">
        <f t="shared" si="38"/>
        <v>3.03</v>
      </c>
      <c r="G43" s="120">
        <v>3.03</v>
      </c>
      <c r="H43" s="120">
        <v>3</v>
      </c>
      <c r="I43" s="120">
        <f t="shared" si="17"/>
        <v>2.9999999999999805E-2</v>
      </c>
      <c r="J43" s="194">
        <f t="shared" si="18"/>
        <v>101</v>
      </c>
      <c r="K43" s="120">
        <f t="shared" si="19"/>
        <v>9.6666666666666661</v>
      </c>
      <c r="L43" s="120">
        <f t="shared" si="20"/>
        <v>-6.6366666666666667</v>
      </c>
      <c r="M43" s="194">
        <f t="shared" si="21"/>
        <v>31.344827586206897</v>
      </c>
      <c r="N43" s="194">
        <f t="shared" si="22"/>
        <v>2.6120689655172411</v>
      </c>
      <c r="O43" s="121">
        <v>4.03</v>
      </c>
      <c r="P43" s="122">
        <f t="shared" si="39"/>
        <v>-1.0000000000000004</v>
      </c>
      <c r="Q43" s="123">
        <f t="shared" si="35"/>
        <v>75.186104218362274</v>
      </c>
    </row>
    <row r="44" spans="1:21" s="79" customFormat="1" ht="58.5" x14ac:dyDescent="0.25">
      <c r="A44" s="75">
        <v>16</v>
      </c>
      <c r="B44" s="181" t="s">
        <v>35</v>
      </c>
      <c r="C44" s="76" t="s">
        <v>19</v>
      </c>
      <c r="D44" s="116">
        <v>12000</v>
      </c>
      <c r="E44" s="116">
        <v>12000</v>
      </c>
      <c r="F44" s="117">
        <f t="shared" si="38"/>
        <v>1306.3779999999999</v>
      </c>
      <c r="G44" s="116">
        <v>1306.3779999999999</v>
      </c>
      <c r="H44" s="116">
        <v>1300</v>
      </c>
      <c r="I44" s="116">
        <f t="shared" si="17"/>
        <v>6.3779999999999291</v>
      </c>
      <c r="J44" s="193">
        <f t="shared" si="18"/>
        <v>100.4906153846154</v>
      </c>
      <c r="K44" s="116">
        <f t="shared" si="19"/>
        <v>1000</v>
      </c>
      <c r="L44" s="116">
        <f t="shared" si="20"/>
        <v>306.37799999999993</v>
      </c>
      <c r="M44" s="193">
        <f t="shared" si="21"/>
        <v>130.6378</v>
      </c>
      <c r="N44" s="193">
        <f t="shared" si="22"/>
        <v>10.886483333333333</v>
      </c>
      <c r="O44" s="117">
        <v>3396.0749999999998</v>
      </c>
      <c r="P44" s="118">
        <f t="shared" si="39"/>
        <v>-2089.6970000000001</v>
      </c>
      <c r="Q44" s="119">
        <f t="shared" si="35"/>
        <v>38.467289444432176</v>
      </c>
      <c r="R44" s="79">
        <v>3831.8429999999998</v>
      </c>
    </row>
    <row r="45" spans="1:21" s="79" customFormat="1" ht="23.25" x14ac:dyDescent="0.25">
      <c r="A45" s="75">
        <f t="shared" ref="A45:A51" si="40">A44+1</f>
        <v>17</v>
      </c>
      <c r="B45" s="84" t="s">
        <v>54</v>
      </c>
      <c r="C45" s="76" t="s">
        <v>15</v>
      </c>
      <c r="D45" s="116">
        <v>590.10500000000002</v>
      </c>
      <c r="E45" s="116">
        <v>590.10500000000002</v>
      </c>
      <c r="F45" s="117">
        <f t="shared" si="38"/>
        <v>41.896999999999998</v>
      </c>
      <c r="G45" s="116">
        <v>41.896999999999998</v>
      </c>
      <c r="H45" s="116">
        <v>40.360999999999997</v>
      </c>
      <c r="I45" s="116">
        <f t="shared" si="17"/>
        <v>1.5360000000000014</v>
      </c>
      <c r="J45" s="193">
        <f t="shared" si="18"/>
        <v>103.80565397289463</v>
      </c>
      <c r="K45" s="116">
        <f t="shared" si="19"/>
        <v>49.175416666666671</v>
      </c>
      <c r="L45" s="116">
        <f t="shared" si="20"/>
        <v>-7.2784166666666721</v>
      </c>
      <c r="M45" s="193">
        <f t="shared" si="21"/>
        <v>85.199074740935927</v>
      </c>
      <c r="N45" s="193">
        <f t="shared" si="22"/>
        <v>7.0999228950779942</v>
      </c>
      <c r="O45" s="117">
        <v>22.706</v>
      </c>
      <c r="P45" s="118">
        <f t="shared" si="39"/>
        <v>19.190999999999999</v>
      </c>
      <c r="Q45" s="119">
        <f t="shared" si="35"/>
        <v>184.51951026160486</v>
      </c>
      <c r="R45" s="78">
        <f>100-Q45</f>
        <v>-84.519510261604864</v>
      </c>
    </row>
    <row r="46" spans="1:21" s="79" customFormat="1" ht="97.5" x14ac:dyDescent="0.25">
      <c r="A46" s="75">
        <f t="shared" si="40"/>
        <v>18</v>
      </c>
      <c r="B46" s="84" t="s">
        <v>95</v>
      </c>
      <c r="C46" s="76" t="s">
        <v>94</v>
      </c>
      <c r="D46" s="116">
        <v>31</v>
      </c>
      <c r="E46" s="116">
        <v>31</v>
      </c>
      <c r="F46" s="117">
        <f t="shared" si="38"/>
        <v>0.56399999999999995</v>
      </c>
      <c r="G46" s="116">
        <v>0.56399999999999995</v>
      </c>
      <c r="H46" s="116">
        <v>0.56000000000000005</v>
      </c>
      <c r="I46" s="116">
        <f t="shared" si="17"/>
        <v>3.9999999999998925E-3</v>
      </c>
      <c r="J46" s="193">
        <f t="shared" si="18"/>
        <v>100.71428571428569</v>
      </c>
      <c r="K46" s="116">
        <f t="shared" si="19"/>
        <v>2.5833333333333335</v>
      </c>
      <c r="L46" s="116">
        <f t="shared" si="20"/>
        <v>-2.0193333333333334</v>
      </c>
      <c r="M46" s="193">
        <f t="shared" si="21"/>
        <v>21.832258064516125</v>
      </c>
      <c r="N46" s="193">
        <f t="shared" si="22"/>
        <v>1.8193548387096772</v>
      </c>
      <c r="O46" s="117">
        <v>2.472</v>
      </c>
      <c r="P46" s="118">
        <f t="shared" si="39"/>
        <v>-1.9079999999999999</v>
      </c>
      <c r="Q46" s="119">
        <f t="shared" si="35"/>
        <v>22.815533980582522</v>
      </c>
    </row>
    <row r="47" spans="1:21" s="79" customFormat="1" ht="39" x14ac:dyDescent="0.25">
      <c r="A47" s="75">
        <f t="shared" si="40"/>
        <v>19</v>
      </c>
      <c r="B47" s="104" t="s">
        <v>61</v>
      </c>
      <c r="C47" s="32" t="s">
        <v>62</v>
      </c>
      <c r="D47" s="116">
        <v>500</v>
      </c>
      <c r="E47" s="116">
        <v>500</v>
      </c>
      <c r="F47" s="117">
        <f t="shared" si="38"/>
        <v>0</v>
      </c>
      <c r="G47" s="116">
        <v>0</v>
      </c>
      <c r="H47" s="116">
        <v>0</v>
      </c>
      <c r="I47" s="116">
        <f t="shared" si="17"/>
        <v>0</v>
      </c>
      <c r="J47" s="193"/>
      <c r="K47" s="116">
        <f t="shared" si="19"/>
        <v>41.666666666666664</v>
      </c>
      <c r="L47" s="116">
        <f t="shared" si="20"/>
        <v>-41.666666666666664</v>
      </c>
      <c r="M47" s="193">
        <f t="shared" si="21"/>
        <v>0</v>
      </c>
      <c r="N47" s="193">
        <f t="shared" si="22"/>
        <v>0</v>
      </c>
      <c r="O47" s="117">
        <v>0</v>
      </c>
      <c r="P47" s="118">
        <f t="shared" si="39"/>
        <v>0</v>
      </c>
      <c r="Q47" s="119"/>
    </row>
    <row r="48" spans="1:21" s="79" customFormat="1" ht="23.25" x14ac:dyDescent="0.25">
      <c r="A48" s="75">
        <f t="shared" si="40"/>
        <v>20</v>
      </c>
      <c r="B48" s="84" t="s">
        <v>8</v>
      </c>
      <c r="C48" s="76" t="s">
        <v>20</v>
      </c>
      <c r="D48" s="116">
        <v>1700</v>
      </c>
      <c r="E48" s="116">
        <v>1700</v>
      </c>
      <c r="F48" s="117">
        <f t="shared" si="38"/>
        <v>1390.5530000000001</v>
      </c>
      <c r="G48" s="116">
        <v>1390.5530000000001</v>
      </c>
      <c r="H48" s="116">
        <v>1300</v>
      </c>
      <c r="I48" s="116">
        <f t="shared" si="17"/>
        <v>90.553000000000111</v>
      </c>
      <c r="J48" s="193">
        <f t="shared" si="18"/>
        <v>106.9656153846154</v>
      </c>
      <c r="K48" s="116">
        <f t="shared" si="19"/>
        <v>141.66666666666666</v>
      </c>
      <c r="L48" s="116">
        <f t="shared" si="20"/>
        <v>1248.8863333333334</v>
      </c>
      <c r="M48" s="193">
        <f t="shared" si="21"/>
        <v>981.56682352941186</v>
      </c>
      <c r="N48" s="193">
        <f t="shared" si="22"/>
        <v>81.797235294117655</v>
      </c>
      <c r="O48" s="117">
        <v>255.631</v>
      </c>
      <c r="P48" s="118">
        <f t="shared" si="39"/>
        <v>1134.922</v>
      </c>
      <c r="Q48" s="119">
        <f>F48/O48*100</f>
        <v>543.96884571902478</v>
      </c>
      <c r="U48" s="79">
        <v>246438.04</v>
      </c>
    </row>
    <row r="49" spans="1:24" s="79" customFormat="1" ht="175.5" x14ac:dyDescent="0.25">
      <c r="A49" s="75">
        <f t="shared" si="40"/>
        <v>21</v>
      </c>
      <c r="B49" s="84" t="s">
        <v>53</v>
      </c>
      <c r="C49" s="76" t="s">
        <v>47</v>
      </c>
      <c r="D49" s="116">
        <v>2500</v>
      </c>
      <c r="E49" s="116">
        <v>2500</v>
      </c>
      <c r="F49" s="117">
        <f t="shared" si="38"/>
        <v>126.11199999999999</v>
      </c>
      <c r="G49" s="116">
        <v>126.11199999999999</v>
      </c>
      <c r="H49" s="116">
        <v>126</v>
      </c>
      <c r="I49" s="116">
        <f t="shared" si="17"/>
        <v>0.11199999999999477</v>
      </c>
      <c r="J49" s="193">
        <f t="shared" si="18"/>
        <v>100.08888888888889</v>
      </c>
      <c r="K49" s="116">
        <f t="shared" si="19"/>
        <v>208.33333333333334</v>
      </c>
      <c r="L49" s="116">
        <f t="shared" si="20"/>
        <v>-82.221333333333348</v>
      </c>
      <c r="M49" s="193">
        <f t="shared" si="21"/>
        <v>60.533759999999994</v>
      </c>
      <c r="N49" s="193">
        <f t="shared" si="22"/>
        <v>5.0444800000000001</v>
      </c>
      <c r="O49" s="117">
        <v>1130.5809999999999</v>
      </c>
      <c r="P49" s="118">
        <f t="shared" si="39"/>
        <v>-1004.4689999999999</v>
      </c>
      <c r="Q49" s="119">
        <f>F49/O49*100</f>
        <v>11.154618731431007</v>
      </c>
    </row>
    <row r="50" spans="1:24" s="79" customFormat="1" ht="97.5" x14ac:dyDescent="0.25">
      <c r="A50" s="75">
        <f t="shared" si="40"/>
        <v>22</v>
      </c>
      <c r="B50" s="84" t="s">
        <v>121</v>
      </c>
      <c r="C50" s="76" t="s">
        <v>120</v>
      </c>
      <c r="D50" s="116">
        <v>0.25</v>
      </c>
      <c r="E50" s="116">
        <v>0.25</v>
      </c>
      <c r="F50" s="117">
        <f t="shared" si="38"/>
        <v>0</v>
      </c>
      <c r="G50" s="116">
        <v>0</v>
      </c>
      <c r="H50" s="116">
        <v>0</v>
      </c>
      <c r="I50" s="116">
        <f t="shared" si="17"/>
        <v>0</v>
      </c>
      <c r="J50" s="193"/>
      <c r="K50" s="116">
        <f t="shared" si="19"/>
        <v>2.0833333333333332E-2</v>
      </c>
      <c r="L50" s="116">
        <f t="shared" si="20"/>
        <v>-2.0833333333333332E-2</v>
      </c>
      <c r="M50" s="193">
        <f t="shared" si="21"/>
        <v>0</v>
      </c>
      <c r="N50" s="193">
        <f t="shared" si="22"/>
        <v>0</v>
      </c>
      <c r="O50" s="117">
        <v>0</v>
      </c>
      <c r="P50" s="118">
        <f t="shared" si="39"/>
        <v>0</v>
      </c>
      <c r="Q50" s="119"/>
      <c r="S50" s="77">
        <f>F52-F48</f>
        <v>425355.28700000007</v>
      </c>
      <c r="T50" s="77">
        <f>O52-O48</f>
        <v>409197.19599999988</v>
      </c>
      <c r="U50" s="78">
        <f>S50/T50</f>
        <v>1.0394872964867534</v>
      </c>
    </row>
    <row r="51" spans="1:24" s="79" customFormat="1" ht="39" x14ac:dyDescent="0.25">
      <c r="A51" s="75">
        <f t="shared" si="40"/>
        <v>23</v>
      </c>
      <c r="B51" s="84" t="s">
        <v>85</v>
      </c>
      <c r="C51" s="76" t="s">
        <v>84</v>
      </c>
      <c r="D51" s="116">
        <v>0.25</v>
      </c>
      <c r="E51" s="116">
        <v>0.25</v>
      </c>
      <c r="F51" s="117">
        <f t="shared" si="38"/>
        <v>0</v>
      </c>
      <c r="G51" s="116">
        <v>0</v>
      </c>
      <c r="H51" s="116">
        <v>0</v>
      </c>
      <c r="I51" s="116">
        <f t="shared" si="17"/>
        <v>0</v>
      </c>
      <c r="J51" s="193"/>
      <c r="K51" s="116">
        <f t="shared" si="19"/>
        <v>2.0833333333333332E-2</v>
      </c>
      <c r="L51" s="116">
        <f t="shared" si="20"/>
        <v>-2.0833333333333332E-2</v>
      </c>
      <c r="M51" s="193">
        <f t="shared" si="21"/>
        <v>0</v>
      </c>
      <c r="N51" s="193">
        <f t="shared" si="22"/>
        <v>0</v>
      </c>
      <c r="O51" s="117">
        <v>0</v>
      </c>
      <c r="P51" s="118">
        <f t="shared" si="39"/>
        <v>0</v>
      </c>
      <c r="Q51" s="119"/>
    </row>
    <row r="52" spans="1:24" s="89" customFormat="1" ht="31.5" customHeight="1" x14ac:dyDescent="0.3">
      <c r="A52" s="242" t="s">
        <v>165</v>
      </c>
      <c r="B52" s="243"/>
      <c r="C52" s="244"/>
      <c r="D52" s="86">
        <f>D7+D10+D11+D16+D24+D30+D31+D32+D33+D34+D35+D36+D39+D44+D45+D46+D47+D48+D49+D51+D50+D38+D37</f>
        <v>5219750.3770000003</v>
      </c>
      <c r="E52" s="86">
        <f>E7+E10+E11+E16+E24+E30+E31+E32+E33+E34+E35+E36+E39+E44+E45+E46+E47+E48+E49+E51+E50+E38+E37</f>
        <v>5219750.3770000003</v>
      </c>
      <c r="F52" s="86">
        <f t="shared" si="38"/>
        <v>426745.84000000008</v>
      </c>
      <c r="G52" s="86">
        <f t="shared" ref="G52" si="41">G7+G10+G11+G16+G24+G30+G31+G32+G33+G34+G35+G36+G39+G44+G45+G46+G47+G48+G49+G51+G50+G38+G37+G23</f>
        <v>426745.84000000008</v>
      </c>
      <c r="H52" s="86">
        <f>H7+H10+H11+H16+H24+H30+H31+H32+H33+H34+H35+H36+H39+H44+H45+H46+H47+H48+H49+H51+H50+H38+H37</f>
        <v>373393.78899999999</v>
      </c>
      <c r="I52" s="86">
        <f t="shared" si="17"/>
        <v>53352.051000000094</v>
      </c>
      <c r="J52" s="195">
        <f t="shared" si="18"/>
        <v>114.28841415463398</v>
      </c>
      <c r="K52" s="86">
        <f>K7+K10+K11+K16+K24+K30+K31+K32+K33+K34+K35+K36+K39+K44+K45+K46+K47+K48+K49+K51+K50+K38+K37</f>
        <v>434979.19808333332</v>
      </c>
      <c r="L52" s="86">
        <f t="shared" si="20"/>
        <v>-8233.358083333238</v>
      </c>
      <c r="M52" s="195">
        <f t="shared" si="21"/>
        <v>98.107183488403066</v>
      </c>
      <c r="N52" s="195">
        <f t="shared" si="22"/>
        <v>8.1755986240335901</v>
      </c>
      <c r="O52" s="86">
        <f>O7+O10+O11+O16+O24+O30+O31+O32+O33+O34+O35+O36+O39+O44+O45+O46+O47+O48+O49+O51+O50+O38+O23</f>
        <v>409452.82699999987</v>
      </c>
      <c r="P52" s="87">
        <f t="shared" si="39"/>
        <v>17293.01300000021</v>
      </c>
      <c r="Q52" s="88">
        <f>F52/O52*100</f>
        <v>104.22344452392809</v>
      </c>
      <c r="R52" s="90">
        <v>409452.82699999987</v>
      </c>
      <c r="S52" s="90">
        <f>R52-O52</f>
        <v>0</v>
      </c>
      <c r="V52" s="90" t="e">
        <f>#REF!-#REF!-#REF!</f>
        <v>#REF!</v>
      </c>
      <c r="X52" s="89">
        <v>294547.38299999997</v>
      </c>
    </row>
    <row r="53" spans="1:24" s="89" customFormat="1" ht="65.25" customHeight="1" x14ac:dyDescent="0.3">
      <c r="A53" s="242" t="s">
        <v>187</v>
      </c>
      <c r="B53" s="243"/>
      <c r="C53" s="244"/>
      <c r="D53" s="86">
        <f>D52</f>
        <v>5219750.3770000003</v>
      </c>
      <c r="E53" s="86">
        <f>E52</f>
        <v>5219750.3770000003</v>
      </c>
      <c r="F53" s="86">
        <f t="shared" si="38"/>
        <v>426745.84000000008</v>
      </c>
      <c r="G53" s="86">
        <f>G52</f>
        <v>426745.84000000008</v>
      </c>
      <c r="H53" s="86">
        <f>H52</f>
        <v>373393.78899999999</v>
      </c>
      <c r="I53" s="86">
        <f t="shared" ref="I53" si="42">F53-H53</f>
        <v>53352.051000000094</v>
      </c>
      <c r="J53" s="195">
        <f t="shared" ref="J53" si="43">F53/H53*100</f>
        <v>114.28841415463398</v>
      </c>
      <c r="K53" s="86">
        <f>K52</f>
        <v>434979.19808333332</v>
      </c>
      <c r="L53" s="86">
        <f t="shared" ref="L53" si="44">F53-K53</f>
        <v>-8233.358083333238</v>
      </c>
      <c r="M53" s="195">
        <f t="shared" ref="M53" si="45">F53/K53*100</f>
        <v>98.107183488403066</v>
      </c>
      <c r="N53" s="195">
        <f t="shared" ref="N53" si="46">F53/E53*100</f>
        <v>8.1755986240335901</v>
      </c>
      <c r="O53" s="86">
        <f>O52-O8</f>
        <v>342011.45699999988</v>
      </c>
      <c r="P53" s="87">
        <f t="shared" si="39"/>
        <v>84734.383000000205</v>
      </c>
      <c r="Q53" s="88">
        <f>F53/O53*100</f>
        <v>124.77530540738589</v>
      </c>
      <c r="R53" s="90"/>
      <c r="S53" s="90"/>
      <c r="V53" s="90"/>
    </row>
    <row r="54" spans="1:24" s="9" customFormat="1" ht="39" x14ac:dyDescent="0.25">
      <c r="A54" s="23">
        <v>1</v>
      </c>
      <c r="B54" s="59" t="s">
        <v>150</v>
      </c>
      <c r="C54" s="24" t="s">
        <v>55</v>
      </c>
      <c r="D54" s="124">
        <v>879086.1</v>
      </c>
      <c r="E54" s="124">
        <v>879086.1</v>
      </c>
      <c r="F54" s="117">
        <f t="shared" si="38"/>
        <v>63808.4</v>
      </c>
      <c r="G54" s="116">
        <v>63808.4</v>
      </c>
      <c r="H54" s="116">
        <v>63808.4</v>
      </c>
      <c r="I54" s="116">
        <f t="shared" si="17"/>
        <v>0</v>
      </c>
      <c r="J54" s="193">
        <f t="shared" si="18"/>
        <v>100</v>
      </c>
      <c r="K54" s="116">
        <f>H54</f>
        <v>63808.4</v>
      </c>
      <c r="L54" s="116">
        <f t="shared" si="20"/>
        <v>0</v>
      </c>
      <c r="M54" s="193">
        <f t="shared" si="21"/>
        <v>100</v>
      </c>
      <c r="N54" s="193">
        <f t="shared" si="22"/>
        <v>7.2584926550425495</v>
      </c>
      <c r="O54" s="117">
        <v>58102.400000000001</v>
      </c>
      <c r="P54" s="118">
        <f t="shared" si="39"/>
        <v>5706</v>
      </c>
      <c r="Q54" s="119">
        <f>F54/O54*100</f>
        <v>109.82059260891117</v>
      </c>
      <c r="R54" s="40"/>
      <c r="S54" s="40"/>
      <c r="T54" s="40"/>
      <c r="U54" s="42"/>
    </row>
    <row r="55" spans="1:24" s="9" customFormat="1" ht="58.5" x14ac:dyDescent="0.25">
      <c r="A55" s="23">
        <f>A54+1</f>
        <v>2</v>
      </c>
      <c r="B55" s="178" t="s">
        <v>151</v>
      </c>
      <c r="C55" s="143" t="s">
        <v>117</v>
      </c>
      <c r="D55" s="124">
        <v>23435.05</v>
      </c>
      <c r="E55" s="124">
        <v>23435.05</v>
      </c>
      <c r="F55" s="117">
        <f t="shared" si="38"/>
        <v>1701.0619999999999</v>
      </c>
      <c r="G55" s="116">
        <v>1701.0619999999999</v>
      </c>
      <c r="H55" s="116">
        <v>1701.0619999999999</v>
      </c>
      <c r="I55" s="116">
        <f t="shared" si="17"/>
        <v>0</v>
      </c>
      <c r="J55" s="193">
        <f t="shared" si="18"/>
        <v>100</v>
      </c>
      <c r="K55" s="116">
        <f t="shared" ref="K55:K61" si="47">H55</f>
        <v>1701.0619999999999</v>
      </c>
      <c r="L55" s="116">
        <f t="shared" si="20"/>
        <v>0</v>
      </c>
      <c r="M55" s="193">
        <f t="shared" si="21"/>
        <v>100</v>
      </c>
      <c r="N55" s="193">
        <f t="shared" si="22"/>
        <v>7.2586233014224417</v>
      </c>
      <c r="O55" s="117">
        <v>1367.232</v>
      </c>
      <c r="P55" s="118">
        <f t="shared" si="39"/>
        <v>333.82999999999993</v>
      </c>
      <c r="Q55" s="119">
        <f>F55/O55*100</f>
        <v>124.41648527828488</v>
      </c>
    </row>
    <row r="56" spans="1:24" s="9" customFormat="1" ht="78" x14ac:dyDescent="0.25">
      <c r="A56" s="23">
        <f t="shared" ref="A56:A57" si="48">A55+1</f>
        <v>3</v>
      </c>
      <c r="B56" s="178" t="s">
        <v>152</v>
      </c>
      <c r="C56" s="143">
        <v>41051200</v>
      </c>
      <c r="D56" s="124"/>
      <c r="E56" s="124"/>
      <c r="F56" s="117">
        <f t="shared" si="38"/>
        <v>0</v>
      </c>
      <c r="G56" s="116">
        <v>0</v>
      </c>
      <c r="H56" s="116">
        <v>0</v>
      </c>
      <c r="I56" s="116">
        <f t="shared" si="17"/>
        <v>0</v>
      </c>
      <c r="J56" s="193"/>
      <c r="K56" s="116">
        <f t="shared" si="47"/>
        <v>0</v>
      </c>
      <c r="L56" s="116">
        <f t="shared" si="20"/>
        <v>0</v>
      </c>
      <c r="M56" s="193"/>
      <c r="N56" s="193"/>
      <c r="O56" s="117">
        <v>217.81800000000001</v>
      </c>
      <c r="P56" s="118">
        <f t="shared" si="39"/>
        <v>-217.81800000000001</v>
      </c>
      <c r="Q56" s="119">
        <f>F56/O56*100</f>
        <v>0</v>
      </c>
    </row>
    <row r="57" spans="1:24" s="9" customFormat="1" ht="23.25" x14ac:dyDescent="0.25">
      <c r="A57" s="23">
        <f t="shared" si="48"/>
        <v>4</v>
      </c>
      <c r="B57" s="179" t="s">
        <v>153</v>
      </c>
      <c r="C57" s="143" t="s">
        <v>109</v>
      </c>
      <c r="D57" s="124">
        <f>SUM(D58:D61)</f>
        <v>1982.317</v>
      </c>
      <c r="E57" s="124">
        <f>SUM(E58:E61)</f>
        <v>1982.317</v>
      </c>
      <c r="F57" s="117">
        <f t="shared" si="38"/>
        <v>0</v>
      </c>
      <c r="G57" s="116">
        <f>SUM(G58:G61)</f>
        <v>0</v>
      </c>
      <c r="H57" s="116">
        <f>SUM(H58:H61)</f>
        <v>71.801000000000002</v>
      </c>
      <c r="I57" s="116">
        <f t="shared" si="17"/>
        <v>-71.801000000000002</v>
      </c>
      <c r="J57" s="193">
        <f t="shared" si="18"/>
        <v>0</v>
      </c>
      <c r="K57" s="116">
        <f t="shared" si="47"/>
        <v>71.801000000000002</v>
      </c>
      <c r="L57" s="116">
        <f t="shared" si="20"/>
        <v>-71.801000000000002</v>
      </c>
      <c r="M57" s="193">
        <f t="shared" si="21"/>
        <v>0</v>
      </c>
      <c r="N57" s="193">
        <f t="shared" si="22"/>
        <v>0</v>
      </c>
      <c r="O57" s="117">
        <f>SUM(O58:O61)</f>
        <v>0</v>
      </c>
      <c r="P57" s="118">
        <f t="shared" si="39"/>
        <v>0</v>
      </c>
      <c r="Q57" s="119"/>
      <c r="R57" s="117"/>
      <c r="S57" s="117"/>
    </row>
    <row r="58" spans="1:24" s="39" customFormat="1" ht="39" x14ac:dyDescent="0.25">
      <c r="A58" s="38" t="s">
        <v>118</v>
      </c>
      <c r="B58" s="180" t="s">
        <v>154</v>
      </c>
      <c r="C58" s="103"/>
      <c r="D58" s="125">
        <v>105</v>
      </c>
      <c r="E58" s="125">
        <v>105</v>
      </c>
      <c r="F58" s="121">
        <f t="shared" si="38"/>
        <v>0</v>
      </c>
      <c r="G58" s="120">
        <v>0</v>
      </c>
      <c r="H58" s="120">
        <v>7.7519999999999998</v>
      </c>
      <c r="I58" s="120">
        <f t="shared" si="17"/>
        <v>-7.7519999999999998</v>
      </c>
      <c r="J58" s="194">
        <f t="shared" si="18"/>
        <v>0</v>
      </c>
      <c r="K58" s="120">
        <f t="shared" si="47"/>
        <v>7.7519999999999998</v>
      </c>
      <c r="L58" s="120">
        <f t="shared" si="20"/>
        <v>-7.7519999999999998</v>
      </c>
      <c r="M58" s="194">
        <f t="shared" si="21"/>
        <v>0</v>
      </c>
      <c r="N58" s="194">
        <f t="shared" si="22"/>
        <v>0</v>
      </c>
      <c r="O58" s="121">
        <v>0</v>
      </c>
      <c r="P58" s="122">
        <f t="shared" si="39"/>
        <v>0</v>
      </c>
      <c r="Q58" s="123"/>
    </row>
    <row r="59" spans="1:24" s="39" customFormat="1" ht="39" x14ac:dyDescent="0.25">
      <c r="A59" s="38" t="s">
        <v>119</v>
      </c>
      <c r="B59" s="180" t="s">
        <v>155</v>
      </c>
      <c r="C59" s="103"/>
      <c r="D59" s="125">
        <v>1246.7</v>
      </c>
      <c r="E59" s="125">
        <v>1246.7</v>
      </c>
      <c r="F59" s="121">
        <f t="shared" si="38"/>
        <v>0</v>
      </c>
      <c r="G59" s="120">
        <v>0</v>
      </c>
      <c r="H59" s="120">
        <v>15.337</v>
      </c>
      <c r="I59" s="120">
        <f t="shared" si="17"/>
        <v>-15.337</v>
      </c>
      <c r="J59" s="194">
        <f t="shared" si="18"/>
        <v>0</v>
      </c>
      <c r="K59" s="120">
        <f t="shared" si="47"/>
        <v>15.337</v>
      </c>
      <c r="L59" s="120">
        <f t="shared" si="20"/>
        <v>-15.337</v>
      </c>
      <c r="M59" s="194">
        <f t="shared" si="21"/>
        <v>0</v>
      </c>
      <c r="N59" s="194">
        <f t="shared" si="22"/>
        <v>0</v>
      </c>
      <c r="O59" s="121">
        <v>0</v>
      </c>
      <c r="P59" s="122">
        <f t="shared" si="39"/>
        <v>0</v>
      </c>
      <c r="Q59" s="123"/>
    </row>
    <row r="60" spans="1:24" s="39" customFormat="1" ht="97.5" x14ac:dyDescent="0.25">
      <c r="A60" s="38" t="s">
        <v>190</v>
      </c>
      <c r="B60" s="180" t="s">
        <v>156</v>
      </c>
      <c r="C60" s="103"/>
      <c r="D60" s="125">
        <v>292.3</v>
      </c>
      <c r="E60" s="125">
        <v>292.3</v>
      </c>
      <c r="F60" s="121">
        <f t="shared" si="38"/>
        <v>0</v>
      </c>
      <c r="G60" s="120">
        <v>0</v>
      </c>
      <c r="H60" s="120">
        <v>48.712000000000003</v>
      </c>
      <c r="I60" s="120">
        <f t="shared" si="17"/>
        <v>-48.712000000000003</v>
      </c>
      <c r="J60" s="194">
        <f t="shared" si="18"/>
        <v>0</v>
      </c>
      <c r="K60" s="120">
        <f t="shared" si="47"/>
        <v>48.712000000000003</v>
      </c>
      <c r="L60" s="120">
        <f t="shared" si="20"/>
        <v>-48.712000000000003</v>
      </c>
      <c r="M60" s="194">
        <f t="shared" si="21"/>
        <v>0</v>
      </c>
      <c r="N60" s="194">
        <f t="shared" si="22"/>
        <v>0</v>
      </c>
      <c r="O60" s="121">
        <v>0</v>
      </c>
      <c r="P60" s="122">
        <f t="shared" si="39"/>
        <v>0</v>
      </c>
      <c r="Q60" s="123"/>
    </row>
    <row r="61" spans="1:24" s="39" customFormat="1" ht="97.5" x14ac:dyDescent="0.25">
      <c r="A61" s="38" t="s">
        <v>189</v>
      </c>
      <c r="B61" s="180" t="s">
        <v>169</v>
      </c>
      <c r="C61" s="103"/>
      <c r="D61" s="125">
        <v>338.31700000000001</v>
      </c>
      <c r="E61" s="125">
        <v>338.31700000000001</v>
      </c>
      <c r="F61" s="121">
        <f t="shared" si="38"/>
        <v>0</v>
      </c>
      <c r="G61" s="120">
        <v>0</v>
      </c>
      <c r="H61" s="120">
        <v>0</v>
      </c>
      <c r="I61" s="120">
        <f t="shared" si="17"/>
        <v>0</v>
      </c>
      <c r="J61" s="194"/>
      <c r="K61" s="120">
        <f t="shared" si="47"/>
        <v>0</v>
      </c>
      <c r="L61" s="120">
        <f t="shared" si="20"/>
        <v>0</v>
      </c>
      <c r="M61" s="194"/>
      <c r="N61" s="194">
        <f t="shared" si="22"/>
        <v>0</v>
      </c>
      <c r="O61" s="121">
        <v>0</v>
      </c>
      <c r="P61" s="122">
        <f t="shared" si="39"/>
        <v>0</v>
      </c>
      <c r="Q61" s="123"/>
    </row>
    <row r="62" spans="1:24" s="46" customFormat="1" ht="37.5" customHeight="1" x14ac:dyDescent="0.3">
      <c r="A62" s="43"/>
      <c r="B62" s="47" t="s">
        <v>29</v>
      </c>
      <c r="C62" s="44"/>
      <c r="D62" s="45">
        <f>D66+D65+D64</f>
        <v>904503.46699999995</v>
      </c>
      <c r="E62" s="45">
        <f>E66+E65+E64</f>
        <v>904503.46699999995</v>
      </c>
      <c r="F62" s="45">
        <f t="shared" si="38"/>
        <v>65509.462</v>
      </c>
      <c r="G62" s="45">
        <f t="shared" ref="G62" si="49">G66+G65+G64</f>
        <v>65509.462</v>
      </c>
      <c r="H62" s="45">
        <f>H66+H65+H64</f>
        <v>65581.263000000006</v>
      </c>
      <c r="I62" s="45">
        <f t="shared" si="17"/>
        <v>-71.801000000006752</v>
      </c>
      <c r="J62" s="196">
        <f t="shared" si="18"/>
        <v>99.890515984725695</v>
      </c>
      <c r="K62" s="45">
        <f>K66+K65+K64</f>
        <v>65581.263000000006</v>
      </c>
      <c r="L62" s="45">
        <f t="shared" si="20"/>
        <v>-71.801000000006752</v>
      </c>
      <c r="M62" s="196">
        <f t="shared" si="21"/>
        <v>99.890515984725695</v>
      </c>
      <c r="N62" s="196">
        <f t="shared" si="22"/>
        <v>7.2425882697031163</v>
      </c>
      <c r="O62" s="45">
        <f>O66+O65</f>
        <v>59687.450000000004</v>
      </c>
      <c r="P62" s="87">
        <f t="shared" si="39"/>
        <v>5822.0119999999952</v>
      </c>
      <c r="Q62" s="88">
        <f>F62/O62*100</f>
        <v>109.75416440139425</v>
      </c>
    </row>
    <row r="63" spans="1:24" s="12" customFormat="1" ht="23.25" x14ac:dyDescent="0.25">
      <c r="A63" s="11"/>
      <c r="B63" s="176" t="s">
        <v>96</v>
      </c>
      <c r="C63" s="10"/>
      <c r="D63" s="126"/>
      <c r="E63" s="126"/>
      <c r="F63" s="127"/>
      <c r="G63" s="126"/>
      <c r="H63" s="126"/>
      <c r="I63" s="126"/>
      <c r="J63" s="197"/>
      <c r="K63" s="126"/>
      <c r="L63" s="126"/>
      <c r="M63" s="197"/>
      <c r="N63" s="197"/>
      <c r="O63" s="127"/>
      <c r="P63" s="92"/>
      <c r="Q63" s="93"/>
    </row>
    <row r="64" spans="1:24" s="12" customFormat="1" ht="40.5" hidden="1" x14ac:dyDescent="0.25">
      <c r="A64" s="11"/>
      <c r="B64" s="165" t="s">
        <v>149</v>
      </c>
      <c r="C64" s="25"/>
      <c r="D64" s="54"/>
      <c r="E64" s="54"/>
      <c r="F64" s="45">
        <f>SUM(G64:G64)</f>
        <v>0</v>
      </c>
      <c r="G64" s="54"/>
      <c r="H64" s="54"/>
      <c r="I64" s="54"/>
      <c r="J64" s="191"/>
      <c r="K64" s="54"/>
      <c r="L64" s="54">
        <f t="shared" si="20"/>
        <v>0</v>
      </c>
      <c r="M64" s="191"/>
      <c r="N64" s="191"/>
      <c r="O64" s="45"/>
      <c r="P64" s="92"/>
      <c r="Q64" s="93"/>
    </row>
    <row r="65" spans="1:22" s="12" customFormat="1" ht="40.5" hidden="1" x14ac:dyDescent="0.25">
      <c r="A65" s="11"/>
      <c r="B65" s="165" t="s">
        <v>110</v>
      </c>
      <c r="C65" s="25"/>
      <c r="D65" s="54"/>
      <c r="E65" s="54"/>
      <c r="F65" s="45">
        <f>SUM(G65:G65)</f>
        <v>0</v>
      </c>
      <c r="G65" s="54"/>
      <c r="H65" s="54"/>
      <c r="I65" s="54"/>
      <c r="J65" s="191"/>
      <c r="K65" s="54"/>
      <c r="L65" s="54">
        <f t="shared" si="20"/>
        <v>0</v>
      </c>
      <c r="M65" s="191"/>
      <c r="N65" s="191"/>
      <c r="O65" s="45"/>
      <c r="P65" s="92"/>
      <c r="Q65" s="93"/>
    </row>
    <row r="66" spans="1:22" s="12" customFormat="1" ht="33.75" customHeight="1" x14ac:dyDescent="0.25">
      <c r="A66" s="11"/>
      <c r="B66" s="165" t="s">
        <v>72</v>
      </c>
      <c r="C66" s="25"/>
      <c r="D66" s="54">
        <f>D67+D68</f>
        <v>904503.46699999995</v>
      </c>
      <c r="E66" s="54">
        <f>E67+E68</f>
        <v>904503.46699999995</v>
      </c>
      <c r="F66" s="45">
        <f>SUM(G66:G66)</f>
        <v>65509.462</v>
      </c>
      <c r="G66" s="54">
        <f>G67+G68</f>
        <v>65509.462</v>
      </c>
      <c r="H66" s="54">
        <f>H67+H68</f>
        <v>65581.263000000006</v>
      </c>
      <c r="I66" s="54">
        <f t="shared" si="17"/>
        <v>-71.801000000006752</v>
      </c>
      <c r="J66" s="191">
        <f t="shared" si="18"/>
        <v>99.890515984725695</v>
      </c>
      <c r="K66" s="54">
        <f>K67+K68</f>
        <v>65581.263000000006</v>
      </c>
      <c r="L66" s="54">
        <f t="shared" si="20"/>
        <v>-71.801000000006752</v>
      </c>
      <c r="M66" s="191">
        <f t="shared" si="21"/>
        <v>99.890515984725695</v>
      </c>
      <c r="N66" s="191">
        <f t="shared" si="22"/>
        <v>7.2425882697031163</v>
      </c>
      <c r="O66" s="45">
        <f>O67+O68</f>
        <v>59687.450000000004</v>
      </c>
      <c r="P66" s="92">
        <f>F66-O66</f>
        <v>5822.0119999999952</v>
      </c>
      <c r="Q66" s="93">
        <f>F66/O66*100</f>
        <v>109.75416440139425</v>
      </c>
    </row>
    <row r="67" spans="1:22" s="7" customFormat="1" ht="33.75" customHeight="1" x14ac:dyDescent="0.25">
      <c r="A67" s="13"/>
      <c r="B67" s="16" t="s">
        <v>100</v>
      </c>
      <c r="C67" s="16"/>
      <c r="D67" s="125">
        <f>D54</f>
        <v>879086.1</v>
      </c>
      <c r="E67" s="125">
        <f>E54</f>
        <v>879086.1</v>
      </c>
      <c r="F67" s="128">
        <f>SUM(G67:G67)</f>
        <v>63808.4</v>
      </c>
      <c r="G67" s="125">
        <f>G54</f>
        <v>63808.4</v>
      </c>
      <c r="H67" s="125">
        <f>H54</f>
        <v>63808.4</v>
      </c>
      <c r="I67" s="125">
        <f t="shared" si="17"/>
        <v>0</v>
      </c>
      <c r="J67" s="198">
        <f t="shared" si="18"/>
        <v>100</v>
      </c>
      <c r="K67" s="125">
        <f>K54</f>
        <v>63808.4</v>
      </c>
      <c r="L67" s="125">
        <f t="shared" si="20"/>
        <v>0</v>
      </c>
      <c r="M67" s="198">
        <f t="shared" si="21"/>
        <v>100</v>
      </c>
      <c r="N67" s="198">
        <f t="shared" si="22"/>
        <v>7.2584926550425495</v>
      </c>
      <c r="O67" s="128">
        <f>O54</f>
        <v>58102.400000000001</v>
      </c>
      <c r="P67" s="122">
        <f>F67-O67</f>
        <v>5706</v>
      </c>
      <c r="Q67" s="123">
        <f>F67/O67*100</f>
        <v>109.82059260891117</v>
      </c>
    </row>
    <row r="68" spans="1:22" s="7" customFormat="1" ht="33.75" customHeight="1" x14ac:dyDescent="0.25">
      <c r="A68" s="13"/>
      <c r="B68" s="177" t="s">
        <v>99</v>
      </c>
      <c r="C68" s="16"/>
      <c r="D68" s="125">
        <f>D55+D57</f>
        <v>25417.366999999998</v>
      </c>
      <c r="E68" s="125">
        <f>E55+E57</f>
        <v>25417.366999999998</v>
      </c>
      <c r="F68" s="128">
        <f>SUM(G68:G68)</f>
        <v>1701.0619999999999</v>
      </c>
      <c r="G68" s="125">
        <f>G55+G57</f>
        <v>1701.0619999999999</v>
      </c>
      <c r="H68" s="125">
        <f>H55+H57</f>
        <v>1772.8629999999998</v>
      </c>
      <c r="I68" s="125">
        <f t="shared" si="17"/>
        <v>-71.800999999999931</v>
      </c>
      <c r="J68" s="198">
        <f t="shared" si="18"/>
        <v>95.949997264312032</v>
      </c>
      <c r="K68" s="125">
        <f>K55+K57</f>
        <v>1772.8629999999998</v>
      </c>
      <c r="L68" s="125">
        <f t="shared" si="20"/>
        <v>-71.800999999999931</v>
      </c>
      <c r="M68" s="198">
        <f t="shared" si="21"/>
        <v>95.949997264312032</v>
      </c>
      <c r="N68" s="198">
        <f t="shared" si="22"/>
        <v>6.6925185445054156</v>
      </c>
      <c r="O68" s="128">
        <f>O55+O57+O56</f>
        <v>1585.05</v>
      </c>
      <c r="P68" s="122">
        <f>F68-O68</f>
        <v>116.01199999999994</v>
      </c>
      <c r="Q68" s="123">
        <f>F68/O68*100</f>
        <v>107.31913819753321</v>
      </c>
    </row>
    <row r="69" spans="1:22" s="7" customFormat="1" ht="23.25" x14ac:dyDescent="0.25">
      <c r="A69" s="13"/>
      <c r="B69" s="41"/>
      <c r="C69" s="16"/>
      <c r="D69" s="125"/>
      <c r="E69" s="125"/>
      <c r="F69" s="128"/>
      <c r="G69" s="125"/>
      <c r="H69" s="125"/>
      <c r="I69" s="125"/>
      <c r="J69" s="198"/>
      <c r="K69" s="125"/>
      <c r="L69" s="125"/>
      <c r="M69" s="198"/>
      <c r="N69" s="198"/>
      <c r="O69" s="128"/>
      <c r="P69" s="122"/>
      <c r="Q69" s="123"/>
    </row>
    <row r="70" spans="1:22" s="153" customFormat="1" ht="46.5" x14ac:dyDescent="0.3">
      <c r="A70" s="146"/>
      <c r="B70" s="147" t="s">
        <v>28</v>
      </c>
      <c r="C70" s="148"/>
      <c r="D70" s="149">
        <f>D62+D52</f>
        <v>6124253.8440000005</v>
      </c>
      <c r="E70" s="149">
        <f>E62+E52</f>
        <v>6124253.8440000005</v>
      </c>
      <c r="F70" s="149">
        <f>SUM(G70:G70)</f>
        <v>492255.30200000008</v>
      </c>
      <c r="G70" s="149">
        <f>G62+G52</f>
        <v>492255.30200000008</v>
      </c>
      <c r="H70" s="149">
        <f>H62+H52</f>
        <v>438975.05200000003</v>
      </c>
      <c r="I70" s="149">
        <f t="shared" si="17"/>
        <v>53280.250000000058</v>
      </c>
      <c r="J70" s="199">
        <f t="shared" si="18"/>
        <v>112.13742096669313</v>
      </c>
      <c r="K70" s="149">
        <f>K62+K52</f>
        <v>500560.46108333336</v>
      </c>
      <c r="L70" s="149">
        <f t="shared" si="20"/>
        <v>-8305.1590833332739</v>
      </c>
      <c r="M70" s="199">
        <f t="shared" si="21"/>
        <v>98.340827986022134</v>
      </c>
      <c r="N70" s="199">
        <f t="shared" si="22"/>
        <v>8.0378004331461224</v>
      </c>
      <c r="O70" s="149">
        <f>O62+O52</f>
        <v>469140.27699999989</v>
      </c>
      <c r="P70" s="150">
        <f>F70-O70</f>
        <v>23115.025000000198</v>
      </c>
      <c r="Q70" s="151">
        <f>F70/O70*100</f>
        <v>104.92710307198804</v>
      </c>
      <c r="R70" s="149">
        <v>469140.27699999989</v>
      </c>
      <c r="S70" s="152">
        <f>R70-O70</f>
        <v>0</v>
      </c>
      <c r="V70" s="152"/>
    </row>
    <row r="71" spans="1:22" s="153" customFormat="1" ht="93" x14ac:dyDescent="0.3">
      <c r="A71" s="146"/>
      <c r="B71" s="147" t="s">
        <v>191</v>
      </c>
      <c r="C71" s="148"/>
      <c r="D71" s="149">
        <f>D70</f>
        <v>6124253.8440000005</v>
      </c>
      <c r="E71" s="149">
        <f>E70</f>
        <v>6124253.8440000005</v>
      </c>
      <c r="F71" s="149">
        <f>SUM(G71:G71)</f>
        <v>492255.30200000008</v>
      </c>
      <c r="G71" s="149">
        <f>G70</f>
        <v>492255.30200000008</v>
      </c>
      <c r="H71" s="149">
        <f>H70</f>
        <v>438975.05200000003</v>
      </c>
      <c r="I71" s="149">
        <f t="shared" ref="I71" si="50">F71-H71</f>
        <v>53280.250000000058</v>
      </c>
      <c r="J71" s="199">
        <f t="shared" ref="J71" si="51">F71/H71*100</f>
        <v>112.13742096669313</v>
      </c>
      <c r="K71" s="149">
        <f>K70</f>
        <v>500560.46108333336</v>
      </c>
      <c r="L71" s="149">
        <f t="shared" ref="L71" si="52">F71-K71</f>
        <v>-8305.1590833332739</v>
      </c>
      <c r="M71" s="199">
        <f t="shared" ref="M71" si="53">F71/K71*100</f>
        <v>98.340827986022134</v>
      </c>
      <c r="N71" s="199">
        <f t="shared" ref="N71" si="54">F71/E71*100</f>
        <v>8.0378004331461224</v>
      </c>
      <c r="O71" s="149">
        <f>O62+O53</f>
        <v>401698.90699999989</v>
      </c>
      <c r="P71" s="150">
        <f>F71-O71</f>
        <v>90556.395000000193</v>
      </c>
      <c r="Q71" s="151">
        <f>F71/O71*100</f>
        <v>122.54335110750007</v>
      </c>
      <c r="R71" s="149"/>
      <c r="S71" s="152"/>
      <c r="V71" s="152"/>
    </row>
    <row r="72" spans="1:22" s="9" customFormat="1" ht="20.25" x14ac:dyDescent="0.25">
      <c r="A72" s="255" t="s">
        <v>9</v>
      </c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7"/>
    </row>
    <row r="73" spans="1:22" s="60" customFormat="1" ht="39.75" customHeight="1" x14ac:dyDescent="0.3">
      <c r="A73" s="23">
        <v>1</v>
      </c>
      <c r="B73" s="59" t="s">
        <v>12</v>
      </c>
      <c r="C73" s="24" t="s">
        <v>21</v>
      </c>
      <c r="D73" s="124">
        <f>D74+D75</f>
        <v>88942.407999999996</v>
      </c>
      <c r="E73" s="124">
        <f>E74+E75</f>
        <v>88942.407999999996</v>
      </c>
      <c r="F73" s="117">
        <f t="shared" ref="F73:F83" si="55">SUM(G73:G73)</f>
        <v>9018.42</v>
      </c>
      <c r="G73" s="116">
        <f t="shared" ref="G73" si="56">G74+G75</f>
        <v>9018.42</v>
      </c>
      <c r="H73" s="116">
        <f>H74+H75</f>
        <v>7411.8670000000002</v>
      </c>
      <c r="I73" s="116">
        <f t="shared" ref="I73:I96" si="57">F73-H73</f>
        <v>1606.5529999999999</v>
      </c>
      <c r="J73" s="193">
        <f t="shared" ref="J73:J96" si="58">F73/H73*100</f>
        <v>121.67541592421991</v>
      </c>
      <c r="K73" s="116">
        <f>K74</f>
        <v>7411.8673333333327</v>
      </c>
      <c r="L73" s="116">
        <f t="shared" ref="L73:L96" si="59">F73-K73</f>
        <v>1606.5526666666674</v>
      </c>
      <c r="M73" s="193">
        <f t="shared" ref="M73:M96" si="60">F73/K73*100</f>
        <v>121.67541045212089</v>
      </c>
      <c r="N73" s="193">
        <f t="shared" ref="N73:N96" si="61">F73/E73*100</f>
        <v>10.139617537676742</v>
      </c>
      <c r="O73" s="117">
        <f t="shared" ref="O73" si="62">O74+O75</f>
        <v>12864.638999999999</v>
      </c>
      <c r="P73" s="118">
        <f t="shared" ref="P73:P83" si="63">F73-O73</f>
        <v>-3846.2189999999991</v>
      </c>
      <c r="Q73" s="119">
        <f t="shared" ref="Q73:Q79" si="64">F73/O73*100</f>
        <v>70.102394633848647</v>
      </c>
    </row>
    <row r="74" spans="1:22" s="63" customFormat="1" ht="39" x14ac:dyDescent="0.3">
      <c r="A74" s="38" t="s">
        <v>115</v>
      </c>
      <c r="B74" s="102" t="s">
        <v>111</v>
      </c>
      <c r="C74" s="16" t="s">
        <v>112</v>
      </c>
      <c r="D74" s="125">
        <v>88942.407999999996</v>
      </c>
      <c r="E74" s="125">
        <v>88942.407999999996</v>
      </c>
      <c r="F74" s="121">
        <f t="shared" si="55"/>
        <v>6842.0010000000002</v>
      </c>
      <c r="G74" s="120">
        <v>6842.0010000000002</v>
      </c>
      <c r="H74" s="120">
        <v>7411.8670000000002</v>
      </c>
      <c r="I74" s="120">
        <f t="shared" si="57"/>
        <v>-569.86599999999999</v>
      </c>
      <c r="J74" s="194">
        <f t="shared" si="58"/>
        <v>92.31143786039334</v>
      </c>
      <c r="K74" s="120">
        <f>E74/12*1</f>
        <v>7411.8673333333327</v>
      </c>
      <c r="L74" s="120">
        <f t="shared" si="59"/>
        <v>-569.86633333333248</v>
      </c>
      <c r="M74" s="194">
        <f t="shared" si="60"/>
        <v>92.311433708878226</v>
      </c>
      <c r="N74" s="194">
        <f t="shared" si="61"/>
        <v>7.6926194757398525</v>
      </c>
      <c r="O74" s="121">
        <v>9648.0709999999999</v>
      </c>
      <c r="P74" s="122">
        <f t="shared" si="63"/>
        <v>-2806.0699999999997</v>
      </c>
      <c r="Q74" s="123">
        <f t="shared" si="64"/>
        <v>70.915740566171209</v>
      </c>
    </row>
    <row r="75" spans="1:22" s="63" customFormat="1" ht="39" x14ac:dyDescent="0.3">
      <c r="A75" s="38" t="s">
        <v>116</v>
      </c>
      <c r="B75" s="102" t="s">
        <v>113</v>
      </c>
      <c r="C75" s="16" t="s">
        <v>114</v>
      </c>
      <c r="D75" s="125">
        <v>0</v>
      </c>
      <c r="E75" s="125">
        <v>0</v>
      </c>
      <c r="F75" s="121">
        <f t="shared" si="55"/>
        <v>2176.4189999999999</v>
      </c>
      <c r="G75" s="120">
        <v>2176.4189999999999</v>
      </c>
      <c r="H75" s="120">
        <v>0</v>
      </c>
      <c r="I75" s="120">
        <f t="shared" si="57"/>
        <v>2176.4189999999999</v>
      </c>
      <c r="J75" s="194"/>
      <c r="K75" s="120"/>
      <c r="L75" s="120">
        <f t="shared" si="59"/>
        <v>2176.4189999999999</v>
      </c>
      <c r="M75" s="194"/>
      <c r="N75" s="194"/>
      <c r="O75" s="121">
        <v>3216.5680000000002</v>
      </c>
      <c r="P75" s="122">
        <f t="shared" si="63"/>
        <v>-1040.1490000000003</v>
      </c>
      <c r="Q75" s="123">
        <f t="shared" si="64"/>
        <v>67.662769759569812</v>
      </c>
    </row>
    <row r="76" spans="1:22" s="60" customFormat="1" ht="23.25" x14ac:dyDescent="0.3">
      <c r="A76" s="23">
        <v>2</v>
      </c>
      <c r="B76" s="115" t="s">
        <v>32</v>
      </c>
      <c r="C76" s="24" t="s">
        <v>31</v>
      </c>
      <c r="D76" s="124">
        <v>3460</v>
      </c>
      <c r="E76" s="124">
        <v>3460</v>
      </c>
      <c r="F76" s="117">
        <f t="shared" si="55"/>
        <v>20.628</v>
      </c>
      <c r="G76" s="116">
        <v>20.628</v>
      </c>
      <c r="H76" s="116">
        <v>20.39</v>
      </c>
      <c r="I76" s="116">
        <f t="shared" si="57"/>
        <v>0.23799999999999955</v>
      </c>
      <c r="J76" s="193">
        <f t="shared" si="58"/>
        <v>101.16723884256989</v>
      </c>
      <c r="K76" s="116">
        <f t="shared" ref="K76:K77" si="65">E76/12*1</f>
        <v>288.33333333333331</v>
      </c>
      <c r="L76" s="116">
        <f t="shared" si="59"/>
        <v>-267.70533333333333</v>
      </c>
      <c r="M76" s="193">
        <f t="shared" si="60"/>
        <v>7.154219653179192</v>
      </c>
      <c r="N76" s="193">
        <f t="shared" si="61"/>
        <v>0.59618497109826585</v>
      </c>
      <c r="O76" s="117">
        <v>102.779</v>
      </c>
      <c r="P76" s="118">
        <f t="shared" si="63"/>
        <v>-82.150999999999996</v>
      </c>
      <c r="Q76" s="119">
        <f t="shared" si="64"/>
        <v>20.070247813269248</v>
      </c>
    </row>
    <row r="77" spans="1:22" s="60" customFormat="1" ht="78" x14ac:dyDescent="0.3">
      <c r="A77" s="23">
        <f>A76+1</f>
        <v>3</v>
      </c>
      <c r="B77" s="59" t="s">
        <v>26</v>
      </c>
      <c r="C77" s="24" t="s">
        <v>25</v>
      </c>
      <c r="D77" s="124">
        <v>50</v>
      </c>
      <c r="E77" s="124">
        <v>50</v>
      </c>
      <c r="F77" s="117">
        <f t="shared" si="55"/>
        <v>0</v>
      </c>
      <c r="G77" s="116">
        <v>0</v>
      </c>
      <c r="H77" s="116">
        <v>0</v>
      </c>
      <c r="I77" s="116">
        <f t="shared" si="57"/>
        <v>0</v>
      </c>
      <c r="J77" s="193"/>
      <c r="K77" s="116">
        <f t="shared" si="65"/>
        <v>4.166666666666667</v>
      </c>
      <c r="L77" s="116">
        <f t="shared" si="59"/>
        <v>-4.166666666666667</v>
      </c>
      <c r="M77" s="193">
        <f t="shared" si="60"/>
        <v>0</v>
      </c>
      <c r="N77" s="193">
        <f t="shared" si="61"/>
        <v>0</v>
      </c>
      <c r="O77" s="117">
        <v>14.689</v>
      </c>
      <c r="P77" s="118">
        <f t="shared" si="63"/>
        <v>-14.689</v>
      </c>
      <c r="Q77" s="119">
        <f t="shared" si="64"/>
        <v>0</v>
      </c>
    </row>
    <row r="78" spans="1:22" s="30" customFormat="1" ht="31.5" customHeight="1" x14ac:dyDescent="0.3">
      <c r="A78" s="11">
        <f t="shared" ref="A78" si="66">A77+1</f>
        <v>4</v>
      </c>
      <c r="B78" s="15" t="s">
        <v>10</v>
      </c>
      <c r="C78" s="8"/>
      <c r="D78" s="54">
        <f>SUM(D79:D81)</f>
        <v>110700</v>
      </c>
      <c r="E78" s="54">
        <f>SUM(E79:E81)</f>
        <v>110700</v>
      </c>
      <c r="F78" s="45">
        <f t="shared" si="55"/>
        <v>30538.786</v>
      </c>
      <c r="G78" s="54">
        <f>SUM(G79:G81)</f>
        <v>30538.786</v>
      </c>
      <c r="H78" s="54">
        <f>SUM(H79:H81)</f>
        <v>29000</v>
      </c>
      <c r="I78" s="54">
        <f t="shared" si="57"/>
        <v>1538.7860000000001</v>
      </c>
      <c r="J78" s="191">
        <f t="shared" si="58"/>
        <v>105.30615862068966</v>
      </c>
      <c r="K78" s="54">
        <f>SUM(K79:K81)</f>
        <v>9225</v>
      </c>
      <c r="L78" s="54">
        <f t="shared" si="59"/>
        <v>21313.786</v>
      </c>
      <c r="M78" s="191">
        <f t="shared" si="60"/>
        <v>331.04375067750675</v>
      </c>
      <c r="N78" s="191">
        <f t="shared" si="61"/>
        <v>27.586979223125564</v>
      </c>
      <c r="O78" s="45">
        <f>SUM(O79:O81)</f>
        <v>1553.5920000000001</v>
      </c>
      <c r="P78" s="92">
        <f t="shared" si="63"/>
        <v>28985.194</v>
      </c>
      <c r="Q78" s="93">
        <f t="shared" si="64"/>
        <v>1965.6889324867786</v>
      </c>
      <c r="R78" s="61"/>
    </row>
    <row r="79" spans="1:22" s="63" customFormat="1" ht="39" x14ac:dyDescent="0.3">
      <c r="A79" s="13" t="s">
        <v>142</v>
      </c>
      <c r="B79" s="102" t="s">
        <v>131</v>
      </c>
      <c r="C79" s="16" t="s">
        <v>45</v>
      </c>
      <c r="D79" s="125">
        <v>0</v>
      </c>
      <c r="E79" s="125">
        <v>0</v>
      </c>
      <c r="F79" s="121">
        <f t="shared" si="55"/>
        <v>48</v>
      </c>
      <c r="G79" s="120">
        <v>48</v>
      </c>
      <c r="H79" s="120">
        <v>0</v>
      </c>
      <c r="I79" s="120">
        <f t="shared" si="57"/>
        <v>48</v>
      </c>
      <c r="J79" s="194"/>
      <c r="K79" s="120">
        <f t="shared" ref="K79:K82" si="67">E79/12*1</f>
        <v>0</v>
      </c>
      <c r="L79" s="120">
        <f t="shared" si="59"/>
        <v>48</v>
      </c>
      <c r="M79" s="194"/>
      <c r="N79" s="194"/>
      <c r="O79" s="121">
        <v>505.08499999999998</v>
      </c>
      <c r="P79" s="122">
        <f t="shared" si="63"/>
        <v>-457.08499999999998</v>
      </c>
      <c r="Q79" s="123">
        <f t="shared" si="64"/>
        <v>9.5033509211320872</v>
      </c>
    </row>
    <row r="80" spans="1:22" s="63" customFormat="1" ht="39" x14ac:dyDescent="0.3">
      <c r="A80" s="13" t="s">
        <v>118</v>
      </c>
      <c r="B80" s="102" t="s">
        <v>37</v>
      </c>
      <c r="C80" s="16" t="s">
        <v>22</v>
      </c>
      <c r="D80" s="125">
        <v>14000</v>
      </c>
      <c r="E80" s="125">
        <v>14000</v>
      </c>
      <c r="F80" s="121">
        <f t="shared" si="55"/>
        <v>0</v>
      </c>
      <c r="G80" s="120">
        <v>0</v>
      </c>
      <c r="H80" s="120">
        <v>0</v>
      </c>
      <c r="I80" s="120">
        <f t="shared" si="57"/>
        <v>0</v>
      </c>
      <c r="J80" s="194"/>
      <c r="K80" s="120">
        <f t="shared" si="67"/>
        <v>1166.6666666666667</v>
      </c>
      <c r="L80" s="120">
        <f t="shared" si="59"/>
        <v>-1166.6666666666667</v>
      </c>
      <c r="M80" s="194">
        <f t="shared" si="60"/>
        <v>0</v>
      </c>
      <c r="N80" s="194">
        <f t="shared" si="61"/>
        <v>0</v>
      </c>
      <c r="O80" s="121">
        <v>0</v>
      </c>
      <c r="P80" s="122">
        <f t="shared" si="63"/>
        <v>0</v>
      </c>
      <c r="Q80" s="123"/>
    </row>
    <row r="81" spans="1:19" s="62" customFormat="1" ht="33" customHeight="1" x14ac:dyDescent="0.3">
      <c r="A81" s="13" t="s">
        <v>119</v>
      </c>
      <c r="B81" s="41" t="s">
        <v>67</v>
      </c>
      <c r="C81" s="16" t="s">
        <v>43</v>
      </c>
      <c r="D81" s="125">
        <v>96700</v>
      </c>
      <c r="E81" s="125">
        <v>96700</v>
      </c>
      <c r="F81" s="128">
        <f t="shared" si="55"/>
        <v>30490.786</v>
      </c>
      <c r="G81" s="125">
        <v>30490.786</v>
      </c>
      <c r="H81" s="125">
        <v>29000</v>
      </c>
      <c r="I81" s="125">
        <f t="shared" si="57"/>
        <v>1490.7860000000001</v>
      </c>
      <c r="J81" s="198">
        <f t="shared" si="58"/>
        <v>105.14064137931034</v>
      </c>
      <c r="K81" s="125">
        <f t="shared" si="67"/>
        <v>8058.333333333333</v>
      </c>
      <c r="L81" s="125">
        <f t="shared" si="59"/>
        <v>22432.452666666668</v>
      </c>
      <c r="M81" s="198">
        <f t="shared" si="60"/>
        <v>378.37583453981387</v>
      </c>
      <c r="N81" s="198">
        <f t="shared" si="61"/>
        <v>31.531319544984488</v>
      </c>
      <c r="O81" s="128">
        <v>1048.5070000000001</v>
      </c>
      <c r="P81" s="122">
        <f t="shared" si="63"/>
        <v>29442.278999999999</v>
      </c>
      <c r="Q81" s="123">
        <f>F81/O81*100</f>
        <v>2908.0193074533595</v>
      </c>
    </row>
    <row r="82" spans="1:19" s="60" customFormat="1" ht="39" x14ac:dyDescent="0.3">
      <c r="A82" s="23">
        <v>5</v>
      </c>
      <c r="B82" s="115" t="s">
        <v>11</v>
      </c>
      <c r="C82" s="24" t="s">
        <v>23</v>
      </c>
      <c r="D82" s="124">
        <v>10220.1</v>
      </c>
      <c r="E82" s="124">
        <v>10220.1</v>
      </c>
      <c r="F82" s="117">
        <f t="shared" si="55"/>
        <v>885.63300000000004</v>
      </c>
      <c r="G82" s="116">
        <v>885.63300000000004</v>
      </c>
      <c r="H82" s="116">
        <v>815</v>
      </c>
      <c r="I82" s="116">
        <f t="shared" si="57"/>
        <v>70.633000000000038</v>
      </c>
      <c r="J82" s="193">
        <f t="shared" si="58"/>
        <v>108.66662576687116</v>
      </c>
      <c r="K82" s="116">
        <f t="shared" si="67"/>
        <v>851.67500000000007</v>
      </c>
      <c r="L82" s="116">
        <f t="shared" si="59"/>
        <v>33.95799999999997</v>
      </c>
      <c r="M82" s="193">
        <f t="shared" si="60"/>
        <v>103.9872016907858</v>
      </c>
      <c r="N82" s="193">
        <f t="shared" si="61"/>
        <v>8.6656001408988175</v>
      </c>
      <c r="O82" s="117">
        <v>1846.4469999999999</v>
      </c>
      <c r="P82" s="118">
        <f t="shared" si="63"/>
        <v>-960.81399999999985</v>
      </c>
      <c r="Q82" s="119">
        <f>F82/O82*100</f>
        <v>47.964171189316566</v>
      </c>
    </row>
    <row r="83" spans="1:19" s="50" customFormat="1" ht="39" customHeight="1" x14ac:dyDescent="0.3">
      <c r="A83" s="48"/>
      <c r="B83" s="85" t="s">
        <v>163</v>
      </c>
      <c r="C83" s="49"/>
      <c r="D83" s="45">
        <f>D73+D76+D77+D79+D80+D81+D82</f>
        <v>213372.508</v>
      </c>
      <c r="E83" s="45">
        <f>E73+E76+E77+E79+E80+E81+E82</f>
        <v>213372.508</v>
      </c>
      <c r="F83" s="45">
        <f t="shared" si="55"/>
        <v>40463.467000000004</v>
      </c>
      <c r="G83" s="45">
        <f>G73+G76+G77+G79+G80+G81+G82</f>
        <v>40463.467000000004</v>
      </c>
      <c r="H83" s="45">
        <f>H73+H76+H77+H79+H80+H81+H82</f>
        <v>37247.256999999998</v>
      </c>
      <c r="I83" s="45">
        <f t="shared" si="57"/>
        <v>3216.2100000000064</v>
      </c>
      <c r="J83" s="196">
        <f t="shared" si="58"/>
        <v>108.63475664798621</v>
      </c>
      <c r="K83" s="45">
        <f>K73+K76+K77+K79+K80+K81+K82</f>
        <v>17781.042333333331</v>
      </c>
      <c r="L83" s="45">
        <f t="shared" si="59"/>
        <v>22682.424666666673</v>
      </c>
      <c r="M83" s="196">
        <f t="shared" si="60"/>
        <v>227.56521379033524</v>
      </c>
      <c r="N83" s="196">
        <f t="shared" si="61"/>
        <v>18.963767815861267</v>
      </c>
      <c r="O83" s="45">
        <f>O73+O76+O77+O79+O80+O81+O82</f>
        <v>16382.145999999999</v>
      </c>
      <c r="P83" s="87">
        <f t="shared" si="63"/>
        <v>24081.321000000004</v>
      </c>
      <c r="Q83" s="88">
        <f>F83/O83*100</f>
        <v>246.99735309403303</v>
      </c>
    </row>
    <row r="84" spans="1:19" s="66" customFormat="1" ht="22.5" x14ac:dyDescent="0.3">
      <c r="A84" s="65"/>
      <c r="B84" s="91"/>
      <c r="C84" s="53"/>
      <c r="D84" s="54"/>
      <c r="E84" s="54"/>
      <c r="F84" s="45"/>
      <c r="G84" s="54"/>
      <c r="H84" s="54"/>
      <c r="I84" s="54"/>
      <c r="J84" s="191"/>
      <c r="K84" s="54"/>
      <c r="L84" s="54"/>
      <c r="M84" s="191"/>
      <c r="N84" s="191"/>
      <c r="O84" s="45"/>
      <c r="P84" s="92"/>
      <c r="Q84" s="93"/>
    </row>
    <row r="85" spans="1:19" s="66" customFormat="1" ht="67.5" x14ac:dyDescent="0.3">
      <c r="A85" s="65"/>
      <c r="B85" s="91" t="s">
        <v>164</v>
      </c>
      <c r="C85" s="53"/>
      <c r="D85" s="54">
        <f>D83-D73</f>
        <v>124430.1</v>
      </c>
      <c r="E85" s="54">
        <f>E83-E73</f>
        <v>124430.1</v>
      </c>
      <c r="F85" s="45">
        <f t="shared" ref="F85:F92" si="68">SUM(G85:G85)</f>
        <v>31445.047000000006</v>
      </c>
      <c r="G85" s="54">
        <f>G83-G73</f>
        <v>31445.047000000006</v>
      </c>
      <c r="H85" s="54">
        <f>H83-H73</f>
        <v>29835.39</v>
      </c>
      <c r="I85" s="54">
        <f t="shared" si="57"/>
        <v>1609.6570000000065</v>
      </c>
      <c r="J85" s="191">
        <f t="shared" si="58"/>
        <v>105.39512639184541</v>
      </c>
      <c r="K85" s="54">
        <f>K83-K73</f>
        <v>10369.174999999999</v>
      </c>
      <c r="L85" s="54">
        <f t="shared" si="59"/>
        <v>21075.872000000007</v>
      </c>
      <c r="M85" s="191">
        <f t="shared" si="60"/>
        <v>303.25505163139798</v>
      </c>
      <c r="N85" s="191">
        <f t="shared" si="61"/>
        <v>25.271254302616491</v>
      </c>
      <c r="O85" s="45">
        <f>O83-O73</f>
        <v>3517.5069999999996</v>
      </c>
      <c r="P85" s="92">
        <f>F85-O85</f>
        <v>27927.540000000008</v>
      </c>
      <c r="Q85" s="93">
        <f>F85/O85*100</f>
        <v>893.95833469556737</v>
      </c>
    </row>
    <row r="86" spans="1:19" s="26" customFormat="1" ht="117" x14ac:dyDescent="0.25">
      <c r="A86" s="23">
        <v>1</v>
      </c>
      <c r="B86" s="59" t="s">
        <v>157</v>
      </c>
      <c r="C86" s="24" t="s">
        <v>71</v>
      </c>
      <c r="D86" s="124">
        <v>17390</v>
      </c>
      <c r="E86" s="124">
        <v>17390</v>
      </c>
      <c r="F86" s="129">
        <f t="shared" si="68"/>
        <v>0</v>
      </c>
      <c r="G86" s="124">
        <v>0</v>
      </c>
      <c r="H86" s="124">
        <v>17390</v>
      </c>
      <c r="I86" s="124">
        <f t="shared" si="57"/>
        <v>-17390</v>
      </c>
      <c r="J86" s="130">
        <f t="shared" si="58"/>
        <v>0</v>
      </c>
      <c r="K86" s="124">
        <f>H86</f>
        <v>17390</v>
      </c>
      <c r="L86" s="124">
        <f t="shared" si="59"/>
        <v>-17390</v>
      </c>
      <c r="M86" s="130">
        <f t="shared" si="60"/>
        <v>0</v>
      </c>
      <c r="N86" s="130">
        <f t="shared" si="61"/>
        <v>0</v>
      </c>
      <c r="O86" s="129">
        <v>0</v>
      </c>
      <c r="P86" s="118">
        <f>F86-O86</f>
        <v>0</v>
      </c>
      <c r="Q86" s="119"/>
    </row>
    <row r="87" spans="1:19" s="26" customFormat="1" ht="58.5" x14ac:dyDescent="0.25">
      <c r="A87" s="23">
        <v>2</v>
      </c>
      <c r="B87" s="59" t="s">
        <v>175</v>
      </c>
      <c r="C87" s="24" t="s">
        <v>176</v>
      </c>
      <c r="D87" s="124"/>
      <c r="E87" s="124">
        <v>24369.562000000002</v>
      </c>
      <c r="F87" s="129">
        <f t="shared" si="68"/>
        <v>24369.562000000002</v>
      </c>
      <c r="G87" s="124">
        <v>24369.562000000002</v>
      </c>
      <c r="H87" s="124">
        <v>24369.562000000002</v>
      </c>
      <c r="I87" s="124">
        <f t="shared" si="57"/>
        <v>0</v>
      </c>
      <c r="J87" s="130">
        <f t="shared" si="58"/>
        <v>100</v>
      </c>
      <c r="K87" s="124">
        <f>H87</f>
        <v>24369.562000000002</v>
      </c>
      <c r="L87" s="124">
        <f t="shared" si="59"/>
        <v>0</v>
      </c>
      <c r="M87" s="130">
        <f t="shared" si="60"/>
        <v>100</v>
      </c>
      <c r="N87" s="130">
        <f t="shared" si="61"/>
        <v>100</v>
      </c>
      <c r="O87" s="129"/>
      <c r="P87" s="118">
        <f>F87-O87</f>
        <v>24369.562000000002</v>
      </c>
      <c r="Q87" s="119"/>
    </row>
    <row r="88" spans="1:19" s="46" customFormat="1" ht="31.5" customHeight="1" x14ac:dyDescent="0.3">
      <c r="A88" s="43"/>
      <c r="B88" s="47" t="s">
        <v>27</v>
      </c>
      <c r="C88" s="49"/>
      <c r="D88" s="45">
        <f>D89+D92</f>
        <v>17390</v>
      </c>
      <c r="E88" s="45">
        <f>E89+E92</f>
        <v>41759.562000000005</v>
      </c>
      <c r="F88" s="45">
        <f t="shared" si="68"/>
        <v>24369.562000000002</v>
      </c>
      <c r="G88" s="45">
        <f>G89+G92</f>
        <v>24369.562000000002</v>
      </c>
      <c r="H88" s="45">
        <f>H89+H92</f>
        <v>41759.562000000005</v>
      </c>
      <c r="I88" s="45">
        <f t="shared" si="57"/>
        <v>-17390.000000000004</v>
      </c>
      <c r="J88" s="196">
        <f t="shared" si="58"/>
        <v>58.356842918994211</v>
      </c>
      <c r="K88" s="45">
        <f>K89+K92</f>
        <v>41759.562000000005</v>
      </c>
      <c r="L88" s="45">
        <f t="shared" si="59"/>
        <v>-17390.000000000004</v>
      </c>
      <c r="M88" s="196">
        <f t="shared" si="60"/>
        <v>58.356842918994211</v>
      </c>
      <c r="N88" s="196">
        <f t="shared" si="61"/>
        <v>58.356842918994211</v>
      </c>
      <c r="O88" s="45">
        <f>O89+O92</f>
        <v>0</v>
      </c>
      <c r="P88" s="87">
        <f>F88-O88</f>
        <v>24369.562000000002</v>
      </c>
      <c r="Q88" s="88"/>
    </row>
    <row r="89" spans="1:19" s="192" customFormat="1" ht="36" customHeight="1" x14ac:dyDescent="0.25">
      <c r="A89" s="33"/>
      <c r="B89" s="190" t="s">
        <v>72</v>
      </c>
      <c r="C89" s="25"/>
      <c r="D89" s="54">
        <f>D90+D91</f>
        <v>17390</v>
      </c>
      <c r="E89" s="54">
        <f>E90+E91</f>
        <v>17390</v>
      </c>
      <c r="F89" s="45">
        <f t="shared" si="68"/>
        <v>0</v>
      </c>
      <c r="G89" s="54">
        <f>G90+G91</f>
        <v>0</v>
      </c>
      <c r="H89" s="54">
        <f>H90+H91</f>
        <v>17390</v>
      </c>
      <c r="I89" s="54">
        <f t="shared" si="57"/>
        <v>-17390</v>
      </c>
      <c r="J89" s="191">
        <f t="shared" si="58"/>
        <v>0</v>
      </c>
      <c r="K89" s="54">
        <f>K90+K91</f>
        <v>17390</v>
      </c>
      <c r="L89" s="54">
        <f t="shared" si="59"/>
        <v>-17390</v>
      </c>
      <c r="M89" s="191">
        <f t="shared" si="60"/>
        <v>0</v>
      </c>
      <c r="N89" s="191">
        <f t="shared" si="61"/>
        <v>0</v>
      </c>
      <c r="O89" s="45">
        <f>O90+O91</f>
        <v>0</v>
      </c>
      <c r="P89" s="92"/>
      <c r="Q89" s="93"/>
    </row>
    <row r="90" spans="1:19" s="7" customFormat="1" ht="31.5" customHeight="1" x14ac:dyDescent="0.25">
      <c r="A90" s="13"/>
      <c r="B90" s="16" t="s">
        <v>100</v>
      </c>
      <c r="C90" s="16"/>
      <c r="D90" s="125">
        <f>D86</f>
        <v>17390</v>
      </c>
      <c r="E90" s="125">
        <f>E86</f>
        <v>17390</v>
      </c>
      <c r="F90" s="128">
        <f t="shared" si="68"/>
        <v>0</v>
      </c>
      <c r="G90" s="125">
        <f>G86</f>
        <v>0</v>
      </c>
      <c r="H90" s="125">
        <f>H86</f>
        <v>17390</v>
      </c>
      <c r="I90" s="125">
        <f t="shared" si="57"/>
        <v>-17390</v>
      </c>
      <c r="J90" s="198">
        <f t="shared" si="58"/>
        <v>0</v>
      </c>
      <c r="K90" s="125">
        <f>K86</f>
        <v>17390</v>
      </c>
      <c r="L90" s="125">
        <f t="shared" si="59"/>
        <v>-17390</v>
      </c>
      <c r="M90" s="198">
        <f t="shared" si="60"/>
        <v>0</v>
      </c>
      <c r="N90" s="198">
        <f t="shared" si="61"/>
        <v>0</v>
      </c>
      <c r="O90" s="128">
        <f>O86</f>
        <v>0</v>
      </c>
      <c r="P90" s="122">
        <f>F90-O90</f>
        <v>0</v>
      </c>
      <c r="Q90" s="123"/>
    </row>
    <row r="91" spans="1:19" s="7" customFormat="1" ht="31.5" customHeight="1" x14ac:dyDescent="0.25">
      <c r="A91" s="13"/>
      <c r="B91" s="177" t="s">
        <v>99</v>
      </c>
      <c r="C91" s="16"/>
      <c r="D91" s="125"/>
      <c r="E91" s="125"/>
      <c r="F91" s="128">
        <f t="shared" si="68"/>
        <v>0</v>
      </c>
      <c r="G91" s="125"/>
      <c r="H91" s="125"/>
      <c r="I91" s="125">
        <f t="shared" si="57"/>
        <v>0</v>
      </c>
      <c r="J91" s="198"/>
      <c r="K91" s="125"/>
      <c r="L91" s="125">
        <f t="shared" si="59"/>
        <v>0</v>
      </c>
      <c r="M91" s="198"/>
      <c r="N91" s="198"/>
      <c r="O91" s="128">
        <v>0</v>
      </c>
      <c r="P91" s="122">
        <f>F91-O91</f>
        <v>0</v>
      </c>
      <c r="Q91" s="123"/>
    </row>
    <row r="92" spans="1:19" s="192" customFormat="1" ht="58.5" x14ac:dyDescent="0.25">
      <c r="A92" s="33"/>
      <c r="B92" s="190" t="s">
        <v>177</v>
      </c>
      <c r="C92" s="25"/>
      <c r="D92" s="54">
        <f>D87</f>
        <v>0</v>
      </c>
      <c r="E92" s="54">
        <f>E87</f>
        <v>24369.562000000002</v>
      </c>
      <c r="F92" s="45">
        <f t="shared" si="68"/>
        <v>24369.562000000002</v>
      </c>
      <c r="G92" s="54">
        <v>24369.562000000002</v>
      </c>
      <c r="H92" s="54">
        <f>H87</f>
        <v>24369.562000000002</v>
      </c>
      <c r="I92" s="54">
        <f t="shared" si="57"/>
        <v>0</v>
      </c>
      <c r="J92" s="191">
        <f t="shared" si="58"/>
        <v>100</v>
      </c>
      <c r="K92" s="54">
        <f>K87</f>
        <v>24369.562000000002</v>
      </c>
      <c r="L92" s="54">
        <f t="shared" si="59"/>
        <v>0</v>
      </c>
      <c r="M92" s="191">
        <f t="shared" si="60"/>
        <v>100</v>
      </c>
      <c r="N92" s="191">
        <f t="shared" si="61"/>
        <v>100</v>
      </c>
      <c r="O92" s="45"/>
      <c r="P92" s="92">
        <f>F92-O92</f>
        <v>24369.562000000002</v>
      </c>
      <c r="Q92" s="93"/>
    </row>
    <row r="93" spans="1:19" s="192" customFormat="1" ht="22.5" x14ac:dyDescent="0.25">
      <c r="A93" s="33"/>
      <c r="B93" s="190"/>
      <c r="C93" s="25"/>
      <c r="D93" s="54"/>
      <c r="E93" s="54"/>
      <c r="F93" s="45"/>
      <c r="G93" s="54"/>
      <c r="H93" s="54"/>
      <c r="I93" s="54"/>
      <c r="J93" s="191"/>
      <c r="K93" s="54"/>
      <c r="L93" s="54"/>
      <c r="M93" s="191"/>
      <c r="N93" s="191"/>
      <c r="O93" s="45"/>
      <c r="P93" s="92"/>
      <c r="Q93" s="93"/>
    </row>
    <row r="94" spans="1:19" s="153" customFormat="1" ht="46.5" x14ac:dyDescent="0.3">
      <c r="A94" s="146"/>
      <c r="B94" s="147" t="s">
        <v>42</v>
      </c>
      <c r="C94" s="154"/>
      <c r="D94" s="149">
        <f>D83+D88</f>
        <v>230762.508</v>
      </c>
      <c r="E94" s="149">
        <f>E83+E88</f>
        <v>255132.07</v>
      </c>
      <c r="F94" s="149">
        <f>SUM(G94:G94)</f>
        <v>64833.02900000001</v>
      </c>
      <c r="G94" s="149">
        <f>G83+G88</f>
        <v>64833.02900000001</v>
      </c>
      <c r="H94" s="149">
        <f>H83+H88</f>
        <v>79006.819000000003</v>
      </c>
      <c r="I94" s="149">
        <f t="shared" si="57"/>
        <v>-14173.789999999994</v>
      </c>
      <c r="J94" s="199">
        <f t="shared" si="58"/>
        <v>82.060042184460059</v>
      </c>
      <c r="K94" s="149">
        <f>K83+K88</f>
        <v>59540.604333333336</v>
      </c>
      <c r="L94" s="149">
        <f t="shared" si="59"/>
        <v>5292.4246666666731</v>
      </c>
      <c r="M94" s="199">
        <f t="shared" si="60"/>
        <v>108.88876544993977</v>
      </c>
      <c r="N94" s="199">
        <f t="shared" si="61"/>
        <v>25.411556061925104</v>
      </c>
      <c r="O94" s="149">
        <f>O83+O88</f>
        <v>16382.145999999999</v>
      </c>
      <c r="P94" s="150">
        <f>F94-O94</f>
        <v>48450.883000000009</v>
      </c>
      <c r="Q94" s="151">
        <f>F94/O94*100</f>
        <v>395.7541887369336</v>
      </c>
      <c r="R94" s="149">
        <v>16382.145999999999</v>
      </c>
      <c r="S94" s="149">
        <f>R94-O94</f>
        <v>0</v>
      </c>
    </row>
    <row r="95" spans="1:19" s="55" customFormat="1" ht="22.5" x14ac:dyDescent="0.3">
      <c r="A95" s="51"/>
      <c r="B95" s="52"/>
      <c r="C95" s="53"/>
      <c r="D95" s="54"/>
      <c r="E95" s="54"/>
      <c r="F95" s="45"/>
      <c r="G95" s="54"/>
      <c r="H95" s="54"/>
      <c r="I95" s="54"/>
      <c r="J95" s="191"/>
      <c r="K95" s="54"/>
      <c r="L95" s="54"/>
      <c r="M95" s="191"/>
      <c r="N95" s="191"/>
      <c r="O95" s="45"/>
      <c r="P95" s="92"/>
      <c r="Q95" s="93"/>
    </row>
    <row r="96" spans="1:19" s="161" customFormat="1" ht="93" x14ac:dyDescent="0.3">
      <c r="A96" s="155"/>
      <c r="B96" s="156" t="s">
        <v>65</v>
      </c>
      <c r="C96" s="157"/>
      <c r="D96" s="158">
        <f>D94-D73</f>
        <v>141820.1</v>
      </c>
      <c r="E96" s="158">
        <f>E94-E73</f>
        <v>166189.66200000001</v>
      </c>
      <c r="F96" s="149">
        <f>SUM(G96:G96)</f>
        <v>55814.609000000011</v>
      </c>
      <c r="G96" s="158">
        <f>G94-G73</f>
        <v>55814.609000000011</v>
      </c>
      <c r="H96" s="158">
        <f>H94-H73</f>
        <v>71594.952000000005</v>
      </c>
      <c r="I96" s="158">
        <f t="shared" si="57"/>
        <v>-15780.342999999993</v>
      </c>
      <c r="J96" s="200">
        <f t="shared" si="58"/>
        <v>77.958860842591264</v>
      </c>
      <c r="K96" s="158">
        <f>K94-K73</f>
        <v>52128.737000000001</v>
      </c>
      <c r="L96" s="158">
        <f t="shared" si="59"/>
        <v>3685.8720000000103</v>
      </c>
      <c r="M96" s="200">
        <f t="shared" si="60"/>
        <v>107.0707103454281</v>
      </c>
      <c r="N96" s="200">
        <f t="shared" si="61"/>
        <v>33.584886284924274</v>
      </c>
      <c r="O96" s="149">
        <f>O94-O73</f>
        <v>3517.5069999999996</v>
      </c>
      <c r="P96" s="159">
        <f>F96-O96</f>
        <v>52297.102000000014</v>
      </c>
      <c r="Q96" s="160">
        <f>F96/O96*100</f>
        <v>1586.766110202482</v>
      </c>
    </row>
    <row r="97" spans="1:18" s="12" customFormat="1" ht="26.25" customHeight="1" x14ac:dyDescent="0.25">
      <c r="A97" s="258" t="s">
        <v>41</v>
      </c>
      <c r="B97" s="259"/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60"/>
    </row>
    <row r="98" spans="1:18" s="153" customFormat="1" ht="36" customHeight="1" x14ac:dyDescent="0.3">
      <c r="A98" s="162"/>
      <c r="B98" s="147" t="s">
        <v>166</v>
      </c>
      <c r="C98" s="154"/>
      <c r="D98" s="149">
        <f>D52+D83</f>
        <v>5433122.8850000007</v>
      </c>
      <c r="E98" s="149">
        <f>E52+E83</f>
        <v>5433122.8850000007</v>
      </c>
      <c r="F98" s="149">
        <f>SUM(G98:G98)</f>
        <v>467209.30700000009</v>
      </c>
      <c r="G98" s="149">
        <f>G52+G83</f>
        <v>467209.30700000009</v>
      </c>
      <c r="H98" s="149">
        <f>H52+H83</f>
        <v>410641.04599999997</v>
      </c>
      <c r="I98" s="149">
        <f t="shared" ref="I98:I115" si="69">F98-H98</f>
        <v>56568.261000000115</v>
      </c>
      <c r="J98" s="199">
        <f t="shared" ref="J98:J113" si="70">F98/H98*100</f>
        <v>113.77559831171872</v>
      </c>
      <c r="K98" s="149">
        <f>K52+K83</f>
        <v>452760.24041666667</v>
      </c>
      <c r="L98" s="149">
        <f t="shared" ref="L98:L115" si="71">F98-K98</f>
        <v>14449.066583333421</v>
      </c>
      <c r="M98" s="199">
        <f t="shared" ref="M98:M113" si="72">F98/K98*100</f>
        <v>103.19132849872955</v>
      </c>
      <c r="N98" s="199">
        <f t="shared" ref="N98:N115" si="73">F98/E98*100</f>
        <v>8.5992773748941271</v>
      </c>
      <c r="O98" s="149">
        <f>O52+O83</f>
        <v>425834.97299999988</v>
      </c>
      <c r="P98" s="150">
        <f>F98-O98</f>
        <v>41374.334000000206</v>
      </c>
      <c r="Q98" s="151">
        <f>F98/O98*100</f>
        <v>109.71604885068945</v>
      </c>
    </row>
    <row r="99" spans="1:18" s="161" customFormat="1" ht="23.25" x14ac:dyDescent="0.3">
      <c r="A99" s="163"/>
      <c r="B99" s="164"/>
      <c r="C99" s="157"/>
      <c r="D99" s="158"/>
      <c r="E99" s="158"/>
      <c r="F99" s="149"/>
      <c r="G99" s="158"/>
      <c r="H99" s="158"/>
      <c r="I99" s="158"/>
      <c r="J99" s="200"/>
      <c r="K99" s="158"/>
      <c r="L99" s="158"/>
      <c r="M99" s="200"/>
      <c r="N99" s="200"/>
      <c r="O99" s="149"/>
      <c r="P99" s="159"/>
      <c r="Q99" s="160"/>
    </row>
    <row r="100" spans="1:18" s="161" customFormat="1" ht="69.75" x14ac:dyDescent="0.3">
      <c r="A100" s="163"/>
      <c r="B100" s="156" t="s">
        <v>64</v>
      </c>
      <c r="C100" s="157"/>
      <c r="D100" s="158">
        <f>D52+D85</f>
        <v>5344180.477</v>
      </c>
      <c r="E100" s="158">
        <f>E52+E85</f>
        <v>5344180.477</v>
      </c>
      <c r="F100" s="149">
        <f>SUM(G100:G100)</f>
        <v>458190.8870000001</v>
      </c>
      <c r="G100" s="158">
        <f>G52+G85</f>
        <v>458190.8870000001</v>
      </c>
      <c r="H100" s="158">
        <f>H52+H85</f>
        <v>403229.179</v>
      </c>
      <c r="I100" s="158">
        <f t="shared" si="69"/>
        <v>54961.708000000101</v>
      </c>
      <c r="J100" s="200">
        <f>F100/H100*100</f>
        <v>113.63038958051202</v>
      </c>
      <c r="K100" s="158">
        <f>K52+K85</f>
        <v>445348.37308333331</v>
      </c>
      <c r="L100" s="158">
        <f t="shared" si="71"/>
        <v>12842.513916666794</v>
      </c>
      <c r="M100" s="200">
        <f t="shared" si="72"/>
        <v>102.88370064714792</v>
      </c>
      <c r="N100" s="200">
        <f t="shared" si="73"/>
        <v>8.5736417205956599</v>
      </c>
      <c r="O100" s="149">
        <f>O52+O85</f>
        <v>412970.33399999986</v>
      </c>
      <c r="P100" s="159">
        <f>F100-O100</f>
        <v>45220.553000000247</v>
      </c>
      <c r="Q100" s="160">
        <f>F100/O100*100</f>
        <v>110.95007298998874</v>
      </c>
    </row>
    <row r="101" spans="1:18" s="30" customFormat="1" ht="22.5" x14ac:dyDescent="0.3">
      <c r="A101" s="182"/>
      <c r="B101" s="15"/>
      <c r="C101" s="25"/>
      <c r="D101" s="54"/>
      <c r="E101" s="54"/>
      <c r="F101" s="45"/>
      <c r="G101" s="54"/>
      <c r="H101" s="54"/>
      <c r="I101" s="54"/>
      <c r="J101" s="191"/>
      <c r="K101" s="54"/>
      <c r="L101" s="54"/>
      <c r="M101" s="191"/>
      <c r="N101" s="191"/>
      <c r="O101" s="45"/>
      <c r="P101" s="92"/>
      <c r="Q101" s="93"/>
    </row>
    <row r="102" spans="1:18" s="30" customFormat="1" ht="81" x14ac:dyDescent="0.3">
      <c r="A102" s="182"/>
      <c r="B102" s="165" t="s">
        <v>167</v>
      </c>
      <c r="C102" s="25"/>
      <c r="D102" s="166">
        <f>D100+D54+D104</f>
        <v>6223266.5769999996</v>
      </c>
      <c r="E102" s="166">
        <f>E100+E54+E104</f>
        <v>6223266.5769999996</v>
      </c>
      <c r="F102" s="167">
        <f>SUM(G102:G102)</f>
        <v>521999.28700000013</v>
      </c>
      <c r="G102" s="166">
        <f>G100+G54+G104</f>
        <v>521999.28700000013</v>
      </c>
      <c r="H102" s="166">
        <f>H100+H54+H104</f>
        <v>467037.57900000003</v>
      </c>
      <c r="I102" s="166">
        <f t="shared" si="69"/>
        <v>54961.708000000101</v>
      </c>
      <c r="J102" s="201">
        <f t="shared" si="70"/>
        <v>111.76815538434437</v>
      </c>
      <c r="K102" s="166">
        <f>K100+K54+K104</f>
        <v>509156.77308333333</v>
      </c>
      <c r="L102" s="166">
        <f t="shared" si="71"/>
        <v>12842.513916666794</v>
      </c>
      <c r="M102" s="201">
        <f t="shared" si="72"/>
        <v>102.5223103365385</v>
      </c>
      <c r="N102" s="201">
        <f t="shared" si="73"/>
        <v>8.3878664129415483</v>
      </c>
      <c r="O102" s="167">
        <f>O100+O54+O104</f>
        <v>438690.73399999988</v>
      </c>
      <c r="P102" s="168">
        <f>F102-O102</f>
        <v>83308.553000000247</v>
      </c>
      <c r="Q102" s="169">
        <f>F102/O102*100</f>
        <v>118.99026957793011</v>
      </c>
      <c r="R102" s="61"/>
    </row>
    <row r="103" spans="1:18" s="30" customFormat="1" ht="22.5" x14ac:dyDescent="0.3">
      <c r="A103" s="182"/>
      <c r="B103" s="15"/>
      <c r="C103" s="25"/>
      <c r="D103" s="54"/>
      <c r="E103" s="54"/>
      <c r="F103" s="45"/>
      <c r="G103" s="54"/>
      <c r="H103" s="54"/>
      <c r="I103" s="54"/>
      <c r="J103" s="191"/>
      <c r="K103" s="54"/>
      <c r="L103" s="54"/>
      <c r="M103" s="191"/>
      <c r="N103" s="191"/>
      <c r="O103" s="45"/>
      <c r="P103" s="92"/>
      <c r="Q103" s="93"/>
    </row>
    <row r="104" spans="1:18" s="30" customFormat="1" ht="35.25" customHeight="1" x14ac:dyDescent="0.3">
      <c r="A104" s="182"/>
      <c r="B104" s="165" t="s">
        <v>68</v>
      </c>
      <c r="C104" s="25"/>
      <c r="D104" s="166"/>
      <c r="E104" s="166"/>
      <c r="F104" s="167">
        <f>SUM(G104:G104)</f>
        <v>0</v>
      </c>
      <c r="G104" s="166">
        <v>0</v>
      </c>
      <c r="H104" s="166"/>
      <c r="I104" s="166">
        <f t="shared" si="69"/>
        <v>0</v>
      </c>
      <c r="J104" s="201"/>
      <c r="K104" s="166"/>
      <c r="L104" s="166">
        <f t="shared" si="71"/>
        <v>0</v>
      </c>
      <c r="M104" s="201"/>
      <c r="N104" s="201"/>
      <c r="O104" s="167">
        <v>-32382</v>
      </c>
      <c r="P104" s="168">
        <f>F104-O104</f>
        <v>32382</v>
      </c>
      <c r="Q104" s="169">
        <f>F104/O104*100</f>
        <v>0</v>
      </c>
    </row>
    <row r="105" spans="1:18" s="30" customFormat="1" ht="22.5" x14ac:dyDescent="0.3">
      <c r="A105" s="11"/>
      <c r="B105" s="15"/>
      <c r="C105" s="25"/>
      <c r="D105" s="54"/>
      <c r="E105" s="54"/>
      <c r="F105" s="45"/>
      <c r="G105" s="54"/>
      <c r="H105" s="54"/>
      <c r="I105" s="54"/>
      <c r="J105" s="191"/>
      <c r="K105" s="54"/>
      <c r="L105" s="54"/>
      <c r="M105" s="191"/>
      <c r="N105" s="191"/>
      <c r="O105" s="45"/>
      <c r="P105" s="92"/>
      <c r="Q105" s="93"/>
    </row>
    <row r="106" spans="1:18" s="46" customFormat="1" ht="32.25" customHeight="1" x14ac:dyDescent="0.3">
      <c r="A106" s="43"/>
      <c r="B106" s="47" t="s">
        <v>27</v>
      </c>
      <c r="C106" s="49"/>
      <c r="D106" s="45">
        <f>D107+D108+D109+D112</f>
        <v>921893.46699999995</v>
      </c>
      <c r="E106" s="45">
        <f>E107+E108+E109+E112</f>
        <v>946263.02899999998</v>
      </c>
      <c r="F106" s="45">
        <f t="shared" ref="F106:F113" si="74">SUM(G106:G106)</f>
        <v>89879.024000000005</v>
      </c>
      <c r="G106" s="45">
        <f>G107+G108+G109+G112</f>
        <v>89879.024000000005</v>
      </c>
      <c r="H106" s="45">
        <f>H107+H108+H109+H112</f>
        <v>107340.825</v>
      </c>
      <c r="I106" s="45">
        <f t="shared" si="69"/>
        <v>-17461.800999999992</v>
      </c>
      <c r="J106" s="196">
        <f t="shared" si="70"/>
        <v>83.732376754138045</v>
      </c>
      <c r="K106" s="45">
        <f>K107+K108+K109+K112</f>
        <v>107340.825</v>
      </c>
      <c r="L106" s="45">
        <f t="shared" si="71"/>
        <v>-17461.800999999992</v>
      </c>
      <c r="M106" s="196">
        <f t="shared" si="72"/>
        <v>83.732376754138045</v>
      </c>
      <c r="N106" s="196">
        <f t="shared" si="73"/>
        <v>9.4983129685393219</v>
      </c>
      <c r="O106" s="45">
        <f>O107+O108+O109+O112</f>
        <v>59687.450000000004</v>
      </c>
      <c r="P106" s="87">
        <f t="shared" ref="P106:P113" si="75">F106-O106</f>
        <v>30191.574000000001</v>
      </c>
      <c r="Q106" s="88">
        <f>F106/O106*100</f>
        <v>150.58278415311761</v>
      </c>
    </row>
    <row r="107" spans="1:18" s="55" customFormat="1" ht="40.5" hidden="1" x14ac:dyDescent="0.3">
      <c r="A107" s="170"/>
      <c r="B107" s="165" t="s">
        <v>149</v>
      </c>
      <c r="C107" s="53"/>
      <c r="D107" s="54">
        <f>D64</f>
        <v>0</v>
      </c>
      <c r="E107" s="54">
        <f>E64</f>
        <v>0</v>
      </c>
      <c r="F107" s="45">
        <f t="shared" si="74"/>
        <v>0</v>
      </c>
      <c r="G107" s="54">
        <f>G64</f>
        <v>0</v>
      </c>
      <c r="H107" s="54">
        <f>H64</f>
        <v>0</v>
      </c>
      <c r="I107" s="54">
        <f t="shared" si="69"/>
        <v>0</v>
      </c>
      <c r="J107" s="191"/>
      <c r="K107" s="54">
        <f>K64</f>
        <v>0</v>
      </c>
      <c r="L107" s="54">
        <f t="shared" si="71"/>
        <v>0</v>
      </c>
      <c r="M107" s="191"/>
      <c r="N107" s="191"/>
      <c r="O107" s="45">
        <f>O64</f>
        <v>0</v>
      </c>
      <c r="P107" s="92">
        <f t="shared" si="75"/>
        <v>0</v>
      </c>
      <c r="Q107" s="93"/>
    </row>
    <row r="108" spans="1:18" s="55" customFormat="1" ht="40.5" hidden="1" x14ac:dyDescent="0.3">
      <c r="A108" s="170"/>
      <c r="B108" s="165" t="s">
        <v>110</v>
      </c>
      <c r="C108" s="53"/>
      <c r="D108" s="54">
        <f>D65</f>
        <v>0</v>
      </c>
      <c r="E108" s="54">
        <f>E65</f>
        <v>0</v>
      </c>
      <c r="F108" s="45">
        <f t="shared" si="74"/>
        <v>0</v>
      </c>
      <c r="G108" s="54">
        <f>G65</f>
        <v>0</v>
      </c>
      <c r="H108" s="54">
        <f>H65</f>
        <v>0</v>
      </c>
      <c r="I108" s="54">
        <f t="shared" si="69"/>
        <v>0</v>
      </c>
      <c r="J108" s="191"/>
      <c r="K108" s="54">
        <f>K65</f>
        <v>0</v>
      </c>
      <c r="L108" s="54">
        <f t="shared" si="71"/>
        <v>0</v>
      </c>
      <c r="M108" s="191"/>
      <c r="N108" s="191"/>
      <c r="O108" s="45">
        <f>O65</f>
        <v>0</v>
      </c>
      <c r="P108" s="92">
        <f t="shared" si="75"/>
        <v>0</v>
      </c>
      <c r="Q108" s="93"/>
    </row>
    <row r="109" spans="1:18" s="55" customFormat="1" ht="37.5" customHeight="1" x14ac:dyDescent="0.3">
      <c r="A109" s="170"/>
      <c r="B109" s="56" t="s">
        <v>72</v>
      </c>
      <c r="C109" s="53"/>
      <c r="D109" s="54">
        <f>D110+D111</f>
        <v>921893.46699999995</v>
      </c>
      <c r="E109" s="54">
        <f t="shared" ref="E109" si="76">E110+E111</f>
        <v>921893.46699999995</v>
      </c>
      <c r="F109" s="45">
        <f t="shared" si="74"/>
        <v>65509.462</v>
      </c>
      <c r="G109" s="54">
        <f t="shared" ref="G109:H109" si="77">G110+G111</f>
        <v>65509.462</v>
      </c>
      <c r="H109" s="54">
        <f t="shared" si="77"/>
        <v>82971.262999999992</v>
      </c>
      <c r="I109" s="54">
        <f t="shared" si="69"/>
        <v>-17461.800999999992</v>
      </c>
      <c r="J109" s="191">
        <f t="shared" si="70"/>
        <v>78.954398946536472</v>
      </c>
      <c r="K109" s="54">
        <f t="shared" ref="K109" si="78">K110+K111</f>
        <v>82971.262999999992</v>
      </c>
      <c r="L109" s="54">
        <f t="shared" si="71"/>
        <v>-17461.800999999992</v>
      </c>
      <c r="M109" s="191">
        <f t="shared" si="72"/>
        <v>78.954398946536472</v>
      </c>
      <c r="N109" s="191">
        <f t="shared" si="73"/>
        <v>7.1059687854366809</v>
      </c>
      <c r="O109" s="45">
        <f t="shared" ref="O109" si="79">O110+O111</f>
        <v>59687.450000000004</v>
      </c>
      <c r="P109" s="92">
        <f t="shared" si="75"/>
        <v>5822.0119999999952</v>
      </c>
      <c r="Q109" s="93">
        <f>F109/O109*100</f>
        <v>109.75416440139425</v>
      </c>
    </row>
    <row r="110" spans="1:18" s="173" customFormat="1" ht="23.25" x14ac:dyDescent="0.35">
      <c r="A110" s="171"/>
      <c r="B110" s="172" t="s">
        <v>100</v>
      </c>
      <c r="C110" s="172"/>
      <c r="D110" s="125">
        <f>D67+D90</f>
        <v>896476.1</v>
      </c>
      <c r="E110" s="125">
        <f>E67+E90</f>
        <v>896476.1</v>
      </c>
      <c r="F110" s="128">
        <f t="shared" si="74"/>
        <v>63808.4</v>
      </c>
      <c r="G110" s="125">
        <f>G67+G90</f>
        <v>63808.4</v>
      </c>
      <c r="H110" s="125">
        <f>H67+H90</f>
        <v>81198.399999999994</v>
      </c>
      <c r="I110" s="125">
        <f t="shared" si="69"/>
        <v>-17389.999999999993</v>
      </c>
      <c r="J110" s="198">
        <f t="shared" si="70"/>
        <v>78.583321838853976</v>
      </c>
      <c r="K110" s="125">
        <f>K67+K90</f>
        <v>81198.399999999994</v>
      </c>
      <c r="L110" s="125">
        <f t="shared" si="71"/>
        <v>-17389.999999999993</v>
      </c>
      <c r="M110" s="198">
        <f t="shared" si="72"/>
        <v>78.583321838853976</v>
      </c>
      <c r="N110" s="198">
        <f t="shared" si="73"/>
        <v>7.1176911464789754</v>
      </c>
      <c r="O110" s="128">
        <f>O67+O90</f>
        <v>58102.400000000001</v>
      </c>
      <c r="P110" s="122">
        <f t="shared" si="75"/>
        <v>5706</v>
      </c>
      <c r="Q110" s="123">
        <f>F110/O110*100</f>
        <v>109.82059260891117</v>
      </c>
    </row>
    <row r="111" spans="1:18" s="173" customFormat="1" ht="23.25" x14ac:dyDescent="0.35">
      <c r="A111" s="171"/>
      <c r="B111" s="172" t="s">
        <v>99</v>
      </c>
      <c r="C111" s="172"/>
      <c r="D111" s="125">
        <f>D91+D68</f>
        <v>25417.366999999998</v>
      </c>
      <c r="E111" s="125">
        <f>E91+E68</f>
        <v>25417.366999999998</v>
      </c>
      <c r="F111" s="128">
        <f t="shared" si="74"/>
        <v>1701.0619999999999</v>
      </c>
      <c r="G111" s="125">
        <f>G91+G68</f>
        <v>1701.0619999999999</v>
      </c>
      <c r="H111" s="125">
        <f>H91+H68</f>
        <v>1772.8629999999998</v>
      </c>
      <c r="I111" s="125">
        <f t="shared" si="69"/>
        <v>-71.800999999999931</v>
      </c>
      <c r="J111" s="198">
        <f t="shared" si="70"/>
        <v>95.949997264312032</v>
      </c>
      <c r="K111" s="125">
        <f>K91+K68</f>
        <v>1772.8629999999998</v>
      </c>
      <c r="L111" s="125">
        <f t="shared" si="71"/>
        <v>-71.800999999999931</v>
      </c>
      <c r="M111" s="198">
        <f t="shared" si="72"/>
        <v>95.949997264312032</v>
      </c>
      <c r="N111" s="198">
        <f t="shared" si="73"/>
        <v>6.6925185445054156</v>
      </c>
      <c r="O111" s="128">
        <f>O91+O68</f>
        <v>1585.05</v>
      </c>
      <c r="P111" s="122">
        <f t="shared" si="75"/>
        <v>116.01199999999994</v>
      </c>
      <c r="Q111" s="123">
        <f>F111/O111*100</f>
        <v>107.31913819753321</v>
      </c>
    </row>
    <row r="112" spans="1:18" s="55" customFormat="1" ht="90" x14ac:dyDescent="0.3">
      <c r="A112" s="170"/>
      <c r="B112" s="56" t="s">
        <v>177</v>
      </c>
      <c r="C112" s="53"/>
      <c r="D112" s="54">
        <f>D92</f>
        <v>0</v>
      </c>
      <c r="E112" s="54">
        <f>E92</f>
        <v>24369.562000000002</v>
      </c>
      <c r="F112" s="45">
        <f t="shared" si="74"/>
        <v>24369.562000000002</v>
      </c>
      <c r="G112" s="54">
        <f>G92</f>
        <v>24369.562000000002</v>
      </c>
      <c r="H112" s="54">
        <f>H92</f>
        <v>24369.562000000002</v>
      </c>
      <c r="I112" s="54">
        <f t="shared" ref="I112" si="80">F112-H112</f>
        <v>0</v>
      </c>
      <c r="J112" s="191">
        <f t="shared" ref="J112" si="81">F112/H112*100</f>
        <v>100</v>
      </c>
      <c r="K112" s="54">
        <f>K92</f>
        <v>24369.562000000002</v>
      </c>
      <c r="L112" s="54">
        <f t="shared" ref="L112" si="82">F112-K112</f>
        <v>0</v>
      </c>
      <c r="M112" s="191">
        <f t="shared" ref="M112" si="83">F112/K112*100</f>
        <v>100</v>
      </c>
      <c r="N112" s="191">
        <f t="shared" ref="N112" si="84">F112/E112*100</f>
        <v>100</v>
      </c>
      <c r="O112" s="45">
        <f>O92</f>
        <v>0</v>
      </c>
      <c r="P112" s="92">
        <f t="shared" si="75"/>
        <v>24369.562000000002</v>
      </c>
      <c r="Q112" s="93"/>
    </row>
    <row r="113" spans="1:19" s="153" customFormat="1" ht="46.5" x14ac:dyDescent="0.3">
      <c r="A113" s="162"/>
      <c r="B113" s="147" t="s">
        <v>125</v>
      </c>
      <c r="C113" s="154"/>
      <c r="D113" s="149">
        <f>D98+D106</f>
        <v>6355016.3520000009</v>
      </c>
      <c r="E113" s="149">
        <f>E98+E106</f>
        <v>6379385.9140000008</v>
      </c>
      <c r="F113" s="149">
        <f t="shared" si="74"/>
        <v>557088.33100000012</v>
      </c>
      <c r="G113" s="149">
        <f t="shared" ref="G113" si="85">G98+G106</f>
        <v>557088.33100000012</v>
      </c>
      <c r="H113" s="149">
        <f>H98+H106</f>
        <v>517981.87099999998</v>
      </c>
      <c r="I113" s="149">
        <f t="shared" si="69"/>
        <v>39106.460000000137</v>
      </c>
      <c r="J113" s="199">
        <f t="shared" si="70"/>
        <v>107.54977388002062</v>
      </c>
      <c r="K113" s="149">
        <f>K98+K106</f>
        <v>560101.06541666668</v>
      </c>
      <c r="L113" s="149">
        <f t="shared" si="71"/>
        <v>-3012.7344166665571</v>
      </c>
      <c r="M113" s="199">
        <f t="shared" si="72"/>
        <v>99.462108786665965</v>
      </c>
      <c r="N113" s="199">
        <f t="shared" si="73"/>
        <v>8.7326325528830537</v>
      </c>
      <c r="O113" s="149">
        <f>O98+O106</f>
        <v>485522.42299999989</v>
      </c>
      <c r="P113" s="150">
        <f t="shared" si="75"/>
        <v>71565.908000000229</v>
      </c>
      <c r="Q113" s="151">
        <f>F113/O113*100</f>
        <v>114.73997999058435</v>
      </c>
      <c r="R113" s="149">
        <v>485522.42299999989</v>
      </c>
      <c r="S113" s="149">
        <f>R113-O113</f>
        <v>0</v>
      </c>
    </row>
    <row r="114" spans="1:19" s="55" customFormat="1" ht="22.5" x14ac:dyDescent="0.3">
      <c r="A114" s="57"/>
      <c r="B114" s="52"/>
      <c r="C114" s="53"/>
      <c r="D114" s="183"/>
      <c r="E114" s="183"/>
      <c r="F114" s="184"/>
      <c r="G114" s="183"/>
      <c r="H114" s="183"/>
      <c r="I114" s="183"/>
      <c r="J114" s="202"/>
      <c r="K114" s="183"/>
      <c r="L114" s="183"/>
      <c r="M114" s="202"/>
      <c r="N114" s="202"/>
      <c r="O114" s="184"/>
      <c r="P114" s="92"/>
      <c r="Q114" s="93"/>
    </row>
    <row r="115" spans="1:19" s="55" customFormat="1" ht="87" x14ac:dyDescent="0.3">
      <c r="A115" s="57"/>
      <c r="B115" s="114" t="s">
        <v>73</v>
      </c>
      <c r="C115" s="53"/>
      <c r="D115" s="54">
        <f>D70+D96</f>
        <v>6266073.9440000001</v>
      </c>
      <c r="E115" s="54">
        <f>E70+E96</f>
        <v>6290443.506000001</v>
      </c>
      <c r="F115" s="45">
        <f>SUM(G115:G115)</f>
        <v>548069.91100000008</v>
      </c>
      <c r="G115" s="54">
        <f>G70+G96</f>
        <v>548069.91100000008</v>
      </c>
      <c r="H115" s="54">
        <f>H70+H96</f>
        <v>510570.00400000002</v>
      </c>
      <c r="I115" s="54">
        <f t="shared" si="69"/>
        <v>37499.907000000065</v>
      </c>
      <c r="J115" s="191">
        <f>F115/H115*100</f>
        <v>107.34471408547535</v>
      </c>
      <c r="K115" s="54">
        <f>K70+K96</f>
        <v>552689.19808333332</v>
      </c>
      <c r="L115" s="54">
        <f t="shared" si="71"/>
        <v>-4619.2870833332418</v>
      </c>
      <c r="M115" s="191">
        <f>F115/K115*100</f>
        <v>99.164216145466128</v>
      </c>
      <c r="N115" s="191">
        <f t="shared" si="73"/>
        <v>8.7127387834774392</v>
      </c>
      <c r="O115" s="45">
        <f>O70+O96</f>
        <v>472657.78399999987</v>
      </c>
      <c r="P115" s="92">
        <f>F115-O115</f>
        <v>75412.127000000211</v>
      </c>
      <c r="Q115" s="93">
        <f>F115/O115*100</f>
        <v>115.95491062514698</v>
      </c>
    </row>
    <row r="116" spans="1:19" s="14" customFormat="1" ht="3.75" customHeight="1" x14ac:dyDescent="0.3">
      <c r="A116" s="34"/>
      <c r="B116" s="35"/>
      <c r="C116" s="36"/>
      <c r="D116" s="36"/>
      <c r="E116" s="37"/>
      <c r="F116" s="101"/>
      <c r="G116" s="37"/>
      <c r="H116" s="37"/>
      <c r="I116" s="37"/>
      <c r="J116" s="37"/>
      <c r="K116" s="37"/>
      <c r="L116" s="37"/>
      <c r="M116" s="37"/>
      <c r="N116" s="37"/>
      <c r="O116" s="101"/>
      <c r="P116" s="94"/>
      <c r="Q116" s="95"/>
    </row>
    <row r="117" spans="1:19" s="14" customFormat="1" ht="149.25" customHeight="1" x14ac:dyDescent="0.4">
      <c r="A117" s="34"/>
      <c r="B117" s="246" t="s">
        <v>168</v>
      </c>
      <c r="C117" s="246"/>
      <c r="D117" s="246"/>
      <c r="E117" s="21"/>
      <c r="F117" s="21" t="s">
        <v>90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94"/>
      <c r="Q117" s="95"/>
    </row>
    <row r="118" spans="1:19" s="7" customFormat="1" ht="18" customHeight="1" x14ac:dyDescent="0.45">
      <c r="A118" s="6"/>
      <c r="B118" s="29" t="s">
        <v>52</v>
      </c>
      <c r="C118" s="18"/>
      <c r="D118" s="18"/>
      <c r="E118" s="1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96"/>
      <c r="Q118" s="97"/>
    </row>
    <row r="119" spans="1:19" s="7" customFormat="1" ht="30.75" x14ac:dyDescent="0.45">
      <c r="A119" s="6"/>
      <c r="B119" s="18"/>
      <c r="C119" s="18"/>
      <c r="D119" s="18"/>
      <c r="E119" s="136"/>
      <c r="F119" s="58"/>
      <c r="G119" s="20"/>
      <c r="H119" s="20"/>
      <c r="I119" s="20"/>
      <c r="J119" s="20"/>
      <c r="K119" s="20"/>
      <c r="L119" s="20"/>
      <c r="M119" s="20"/>
      <c r="N119" s="20"/>
      <c r="O119" s="58"/>
      <c r="P119" s="96"/>
      <c r="Q119" s="97"/>
    </row>
    <row r="120" spans="1:19" s="4" customFormat="1" ht="30.75" customHeight="1" x14ac:dyDescent="0.45">
      <c r="A120" s="27"/>
      <c r="B120" s="18"/>
      <c r="C120" s="18"/>
      <c r="D120" s="112">
        <v>6355016.352</v>
      </c>
      <c r="E120" s="112">
        <v>6355016.352</v>
      </c>
      <c r="F120" s="64">
        <v>6497781.0829999996</v>
      </c>
      <c r="G120" s="113"/>
      <c r="H120" s="113"/>
      <c r="I120" s="113"/>
      <c r="J120" s="113"/>
      <c r="K120" s="113"/>
      <c r="L120" s="113"/>
      <c r="M120" s="113"/>
      <c r="N120" s="113"/>
      <c r="O120" s="64"/>
      <c r="P120" s="5"/>
    </row>
    <row r="121" spans="1:19" ht="12" customHeight="1" x14ac:dyDescent="0.45">
      <c r="B121" s="29"/>
      <c r="C121" s="20"/>
      <c r="D121" s="20"/>
      <c r="E121" s="20"/>
      <c r="F121" s="58"/>
      <c r="G121" s="20"/>
      <c r="H121" s="20"/>
      <c r="I121" s="20"/>
      <c r="J121" s="20"/>
      <c r="K121" s="20"/>
      <c r="L121" s="20"/>
      <c r="M121" s="20"/>
      <c r="N121" s="20"/>
      <c r="O121" s="58"/>
    </row>
    <row r="122" spans="1:19" s="2" customFormat="1" ht="30.75" hidden="1" customHeight="1" x14ac:dyDescent="0.45">
      <c r="A122" s="28"/>
      <c r="B122" s="18"/>
      <c r="C122" s="18"/>
      <c r="D122" s="18"/>
      <c r="E122" s="18"/>
      <c r="F122" s="58"/>
      <c r="G122" s="20"/>
      <c r="H122" s="20"/>
      <c r="I122" s="20"/>
      <c r="J122" s="20"/>
      <c r="K122" s="20"/>
      <c r="L122" s="20"/>
      <c r="M122" s="20"/>
      <c r="N122" s="20"/>
      <c r="O122" s="58"/>
      <c r="P122" s="144"/>
    </row>
    <row r="123" spans="1:19" s="2" customFormat="1" ht="30.75" hidden="1" customHeight="1" x14ac:dyDescent="0.45">
      <c r="A123" s="28"/>
      <c r="B123" s="18"/>
      <c r="C123" s="18"/>
      <c r="D123" s="18"/>
      <c r="E123" s="18"/>
      <c r="F123" s="58"/>
      <c r="G123" s="20"/>
      <c r="H123" s="20"/>
      <c r="I123" s="20"/>
      <c r="J123" s="20"/>
      <c r="K123" s="20"/>
      <c r="L123" s="20"/>
      <c r="M123" s="20"/>
      <c r="N123" s="20"/>
      <c r="O123" s="58"/>
      <c r="P123" s="144"/>
    </row>
    <row r="124" spans="1:19" s="2" customFormat="1" ht="16.5" customHeight="1" x14ac:dyDescent="0.45">
      <c r="A124" s="28"/>
      <c r="B124" s="29"/>
      <c r="C124" s="20"/>
      <c r="D124" s="20"/>
      <c r="E124" s="20"/>
      <c r="F124" s="58"/>
      <c r="G124" s="20"/>
      <c r="H124" s="20"/>
      <c r="I124" s="20"/>
      <c r="J124" s="20"/>
      <c r="K124" s="20"/>
      <c r="L124" s="20"/>
      <c r="M124" s="20"/>
      <c r="N124" s="20"/>
      <c r="O124" s="58"/>
      <c r="P124" s="144"/>
    </row>
    <row r="125" spans="1:19" ht="18.75" x14ac:dyDescent="0.3">
      <c r="B125" s="27"/>
      <c r="D125" s="112">
        <f>D120-D113</f>
        <v>0</v>
      </c>
      <c r="E125" s="112">
        <f t="shared" ref="E125:F125" si="86">E120-E113</f>
        <v>-24369.562000000849</v>
      </c>
      <c r="F125" s="112">
        <f t="shared" si="86"/>
        <v>5940692.7519999994</v>
      </c>
      <c r="G125" s="31"/>
      <c r="H125" s="31"/>
      <c r="I125" s="31"/>
      <c r="J125" s="31"/>
      <c r="K125" s="31"/>
      <c r="L125" s="31"/>
      <c r="M125" s="31"/>
      <c r="N125" s="31"/>
      <c r="O125" s="112"/>
    </row>
    <row r="126" spans="1:19" ht="18.75" x14ac:dyDescent="0.3">
      <c r="B126" s="27"/>
      <c r="D126" s="64"/>
      <c r="E126" s="64">
        <v>6341594.04</v>
      </c>
      <c r="F126" s="64">
        <v>6497781.0829999996</v>
      </c>
    </row>
    <row r="127" spans="1:19" ht="18.75" x14ac:dyDescent="0.3">
      <c r="B127" s="27"/>
      <c r="D127" s="112"/>
      <c r="E127" s="112">
        <f>E126-E113</f>
        <v>-37791.874000000767</v>
      </c>
      <c r="F127" s="112">
        <f>F126-F113</f>
        <v>5940692.7519999994</v>
      </c>
      <c r="G127" s="31"/>
      <c r="H127" s="31"/>
      <c r="I127" s="31"/>
      <c r="J127" s="31"/>
      <c r="K127" s="31"/>
      <c r="L127" s="31"/>
      <c r="M127" s="31"/>
      <c r="N127" s="31"/>
      <c r="O127" s="112"/>
    </row>
    <row r="128" spans="1:19" ht="18.75" x14ac:dyDescent="0.3">
      <c r="B128" s="4"/>
      <c r="C128" s="3"/>
      <c r="D128" s="3"/>
      <c r="E128" s="3"/>
      <c r="F128" s="3"/>
      <c r="I128" s="233" t="s">
        <v>49</v>
      </c>
      <c r="J128" s="233"/>
      <c r="K128" s="210">
        <f>E52/12*1</f>
        <v>434979.19808333338</v>
      </c>
      <c r="O128" s="3"/>
    </row>
    <row r="129" spans="2:42" ht="22.5" x14ac:dyDescent="0.3">
      <c r="B129" s="4"/>
      <c r="C129" s="3"/>
      <c r="D129" s="3"/>
      <c r="E129" s="137"/>
      <c r="F129" s="137"/>
      <c r="I129" s="186"/>
      <c r="J129" s="186"/>
      <c r="K129" s="210">
        <f>K128-K52</f>
        <v>0</v>
      </c>
      <c r="O129" s="137"/>
    </row>
    <row r="130" spans="2:42" ht="18.75" x14ac:dyDescent="0.3">
      <c r="B130" s="4"/>
      <c r="C130" s="3"/>
      <c r="D130" s="3"/>
      <c r="E130" s="3"/>
      <c r="I130" s="233" t="s">
        <v>50</v>
      </c>
      <c r="J130" s="233"/>
      <c r="K130" s="211">
        <f>E83/12*1</f>
        <v>17781.042333333335</v>
      </c>
    </row>
    <row r="131" spans="2:42" ht="18.75" x14ac:dyDescent="0.3">
      <c r="B131" s="4"/>
      <c r="C131" s="3"/>
      <c r="D131" s="3"/>
      <c r="E131" s="3"/>
      <c r="I131" s="186"/>
      <c r="J131" s="186"/>
      <c r="K131" s="210">
        <f>K130-K83</f>
        <v>0</v>
      </c>
    </row>
    <row r="132" spans="2:42" ht="18.75" x14ac:dyDescent="0.3">
      <c r="B132" s="139"/>
      <c r="C132" s="3"/>
      <c r="D132" s="3"/>
      <c r="E132" s="3"/>
      <c r="I132" s="233" t="s">
        <v>51</v>
      </c>
      <c r="J132" s="233"/>
      <c r="K132" s="210">
        <f>K130+K88</f>
        <v>59540.604333333336</v>
      </c>
    </row>
    <row r="133" spans="2:42" ht="18.75" x14ac:dyDescent="0.3">
      <c r="B133" s="4"/>
      <c r="C133" s="3"/>
      <c r="D133" s="3"/>
      <c r="E133" s="3"/>
      <c r="I133" s="186"/>
      <c r="J133" s="186"/>
      <c r="K133" s="210">
        <f>K132-K94</f>
        <v>0</v>
      </c>
    </row>
    <row r="134" spans="2:42" s="19" customFormat="1" ht="18.75" x14ac:dyDescent="0.3">
      <c r="B134" s="4"/>
      <c r="C134" s="3"/>
      <c r="D134" s="3"/>
      <c r="E134" s="3"/>
      <c r="F134" s="31"/>
      <c r="G134" s="3"/>
      <c r="H134" s="3"/>
      <c r="I134" s="3"/>
      <c r="J134" s="3"/>
      <c r="K134" s="3"/>
      <c r="L134" s="3"/>
      <c r="M134" s="3"/>
      <c r="N134" s="3"/>
      <c r="O134" s="31"/>
      <c r="P134" s="1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s="19" customFormat="1" ht="18.75" x14ac:dyDescent="0.3">
      <c r="B135" s="4"/>
      <c r="C135" s="3"/>
      <c r="D135" s="3"/>
      <c r="E135" s="113"/>
      <c r="F135" s="140"/>
      <c r="G135" s="3"/>
      <c r="H135" s="3"/>
      <c r="I135" s="3"/>
      <c r="J135" s="3"/>
      <c r="K135" s="3"/>
      <c r="L135" s="3"/>
      <c r="M135" s="3"/>
      <c r="N135" s="3"/>
      <c r="O135" s="140"/>
      <c r="P135" s="1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s="19" customFormat="1" ht="18.75" x14ac:dyDescent="0.3">
      <c r="B136" s="4"/>
      <c r="C136" s="3"/>
      <c r="D136" s="141"/>
      <c r="E136" s="3"/>
      <c r="F136" s="31"/>
      <c r="G136" s="3"/>
      <c r="H136" s="3"/>
      <c r="I136" s="3"/>
      <c r="J136" s="3"/>
      <c r="K136" s="3"/>
      <c r="L136" s="3"/>
      <c r="M136" s="3"/>
      <c r="N136" s="3"/>
      <c r="O136" s="31"/>
      <c r="P136" s="1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s="19" customFormat="1" ht="18.75" x14ac:dyDescent="0.3">
      <c r="B137" s="4"/>
      <c r="C137" s="3"/>
      <c r="D137" s="3"/>
      <c r="E137" s="3"/>
      <c r="F137" s="31"/>
      <c r="G137" s="3"/>
      <c r="H137" s="3"/>
      <c r="I137" s="3"/>
      <c r="J137" s="3"/>
      <c r="K137" s="3"/>
      <c r="L137" s="3"/>
      <c r="M137" s="3"/>
      <c r="N137" s="3"/>
      <c r="O137" s="31"/>
      <c r="P137" s="1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s="19" customFormat="1" ht="22.5" x14ac:dyDescent="0.3">
      <c r="B138" s="4"/>
      <c r="C138" s="3"/>
      <c r="D138" s="138"/>
      <c r="E138" s="3"/>
      <c r="F138" s="31"/>
      <c r="G138" s="3"/>
      <c r="H138" s="3"/>
      <c r="I138" s="3"/>
      <c r="J138" s="3"/>
      <c r="K138" s="3"/>
      <c r="L138" s="3"/>
      <c r="M138" s="3"/>
      <c r="N138" s="3"/>
      <c r="O138" s="31"/>
      <c r="P138" s="1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s="19" customFormat="1" ht="18.75" x14ac:dyDescent="0.3">
      <c r="B139" s="4"/>
      <c r="C139" s="3"/>
      <c r="D139" s="3"/>
      <c r="E139" s="3"/>
      <c r="F139" s="140"/>
      <c r="G139" s="3"/>
      <c r="H139" s="3"/>
      <c r="I139" s="3"/>
      <c r="J139" s="3"/>
      <c r="K139" s="3"/>
      <c r="L139" s="3"/>
      <c r="M139" s="3"/>
      <c r="N139" s="3"/>
      <c r="O139" s="140"/>
      <c r="P139" s="1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s="19" customFormat="1" ht="18.75" x14ac:dyDescent="0.3">
      <c r="B140" s="4"/>
      <c r="C140" s="3"/>
      <c r="D140" s="3"/>
      <c r="E140" s="3"/>
      <c r="F140" s="31"/>
      <c r="G140" s="3"/>
      <c r="H140" s="3"/>
      <c r="I140" s="3"/>
      <c r="J140" s="3"/>
      <c r="K140" s="3"/>
      <c r="L140" s="3"/>
      <c r="M140" s="3"/>
      <c r="N140" s="3"/>
      <c r="O140" s="31"/>
      <c r="P140" s="1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s="19" customFormat="1" ht="18.75" x14ac:dyDescent="0.3">
      <c r="B141" s="4"/>
      <c r="C141" s="3"/>
      <c r="D141" s="3"/>
      <c r="E141" s="3"/>
      <c r="F141" s="31"/>
      <c r="G141" s="3"/>
      <c r="H141" s="3"/>
      <c r="I141" s="3"/>
      <c r="J141" s="3"/>
      <c r="K141" s="3"/>
      <c r="L141" s="3"/>
      <c r="M141" s="3"/>
      <c r="N141" s="3"/>
      <c r="O141" s="31"/>
      <c r="P141" s="1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s="19" customFormat="1" ht="18.75" x14ac:dyDescent="0.3">
      <c r="B142" s="27"/>
      <c r="F142" s="31"/>
      <c r="G142" s="3"/>
      <c r="H142" s="3"/>
      <c r="I142" s="3"/>
      <c r="J142" s="3"/>
      <c r="K142" s="3"/>
      <c r="L142" s="3"/>
      <c r="M142" s="3"/>
      <c r="N142" s="3"/>
      <c r="O142" s="31"/>
      <c r="P142" s="1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s="19" customFormat="1" ht="18.75" x14ac:dyDescent="0.3">
      <c r="B143" s="27"/>
      <c r="F143" s="31"/>
      <c r="G143" s="3"/>
      <c r="H143" s="3"/>
      <c r="I143" s="3"/>
      <c r="J143" s="3"/>
      <c r="K143" s="3"/>
      <c r="L143" s="3"/>
      <c r="M143" s="3"/>
      <c r="N143" s="3"/>
      <c r="O143" s="31"/>
      <c r="P143" s="1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</sheetData>
  <mergeCells count="32">
    <mergeCell ref="A1:Q1"/>
    <mergeCell ref="A6:Q6"/>
    <mergeCell ref="A72:Q72"/>
    <mergeCell ref="A97:Q97"/>
    <mergeCell ref="A3:A4"/>
    <mergeCell ref="B3:B4"/>
    <mergeCell ref="D3:D4"/>
    <mergeCell ref="E3:E4"/>
    <mergeCell ref="H3:H4"/>
    <mergeCell ref="I3:I4"/>
    <mergeCell ref="J3:J4"/>
    <mergeCell ref="C17:C19"/>
    <mergeCell ref="K3:K4"/>
    <mergeCell ref="L3:L4"/>
    <mergeCell ref="Q3:Q4"/>
    <mergeCell ref="O3:O4"/>
    <mergeCell ref="P3:P4"/>
    <mergeCell ref="M3:M4"/>
    <mergeCell ref="B117:D117"/>
    <mergeCell ref="C25:C27"/>
    <mergeCell ref="G3:G4"/>
    <mergeCell ref="F3:F4"/>
    <mergeCell ref="C3:C4"/>
    <mergeCell ref="N3:N4"/>
    <mergeCell ref="I132:J132"/>
    <mergeCell ref="I128:J128"/>
    <mergeCell ref="I130:J130"/>
    <mergeCell ref="A7:A9"/>
    <mergeCell ref="B9:C9"/>
    <mergeCell ref="D8:N8"/>
    <mergeCell ref="A52:C52"/>
    <mergeCell ref="A53:C53"/>
  </mergeCells>
  <printOptions horizontalCentered="1"/>
  <pageMargins left="0.39370078740157483" right="0" top="0" bottom="0" header="0.23622047244094491" footer="0.11811023622047245"/>
  <pageSetup paperSize="8" scale="54" fitToHeight="6" orientation="landscape" horizontalDpi="300" verticalDpi="300" r:id="rId1"/>
  <headerFooter alignWithMargins="0"/>
  <rowBreaks count="1" manualBreakCount="1">
    <brk id="7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6"/>
  <sheetViews>
    <sheetView showGridLines="0" tabSelected="1" view="pageBreakPreview" zoomScale="60" zoomScaleNormal="75" workbookViewId="0">
      <pane xSplit="3" ySplit="4" topLeftCell="D88" activePane="bottomRight" state="frozen"/>
      <selection pane="topRight" activeCell="D1" sqref="D1"/>
      <selection pane="bottomLeft" activeCell="A5" sqref="A5"/>
      <selection pane="bottomRight" activeCell="B103" sqref="B103"/>
    </sheetView>
  </sheetViews>
  <sheetFormatPr defaultRowHeight="12.75" x14ac:dyDescent="0.2"/>
  <cols>
    <col min="1" max="1" width="12.28515625" style="19" customWidth="1"/>
    <col min="2" max="2" width="87.8554687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7.7109375" style="31" customWidth="1"/>
    <col min="7" max="7" width="24.140625" style="3" hidden="1" customWidth="1"/>
    <col min="8" max="10" width="21.140625" style="3" hidden="1" customWidth="1"/>
    <col min="11" max="11" width="26.7109375" style="3" customWidth="1"/>
    <col min="12" max="12" width="23.7109375" style="3" customWidth="1"/>
    <col min="13" max="13" width="14.85546875" style="3" bestFit="1" customWidth="1"/>
    <col min="14" max="14" width="26.42578125" style="3" hidden="1" customWidth="1"/>
    <col min="15" max="15" width="23" style="3" hidden="1" customWidth="1"/>
    <col min="16" max="16" width="13.7109375" style="3" hidden="1" customWidth="1"/>
    <col min="17" max="17" width="15.28515625" style="3" customWidth="1"/>
    <col min="18" max="18" width="24.140625" style="31" customWidth="1"/>
    <col min="19" max="19" width="23.5703125" style="1" customWidth="1"/>
    <col min="20" max="20" width="13.7109375" style="3" bestFit="1" customWidth="1"/>
    <col min="21" max="16384" width="9.140625" style="3"/>
  </cols>
  <sheetData>
    <row r="1" spans="1:26" ht="30" customHeight="1" x14ac:dyDescent="0.2">
      <c r="A1" s="251" t="s">
        <v>238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6" ht="18.75" x14ac:dyDescent="0.3">
      <c r="A2" s="22" t="s">
        <v>48</v>
      </c>
      <c r="B2" s="17"/>
      <c r="C2" s="1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5" t="s">
        <v>13</v>
      </c>
      <c r="T2" s="5"/>
    </row>
    <row r="3" spans="1:26" s="68" customFormat="1" ht="15" customHeight="1" x14ac:dyDescent="0.25">
      <c r="A3" s="261" t="s">
        <v>0</v>
      </c>
      <c r="B3" s="249" t="s">
        <v>1</v>
      </c>
      <c r="C3" s="249" t="s">
        <v>2</v>
      </c>
      <c r="D3" s="245" t="s">
        <v>173</v>
      </c>
      <c r="E3" s="245" t="s">
        <v>174</v>
      </c>
      <c r="F3" s="248" t="s">
        <v>222</v>
      </c>
      <c r="G3" s="245" t="s">
        <v>63</v>
      </c>
      <c r="H3" s="245" t="s">
        <v>208</v>
      </c>
      <c r="I3" s="245" t="s">
        <v>216</v>
      </c>
      <c r="J3" s="245" t="s">
        <v>221</v>
      </c>
      <c r="K3" s="245" t="s">
        <v>223</v>
      </c>
      <c r="L3" s="245" t="s">
        <v>224</v>
      </c>
      <c r="M3" s="245" t="s">
        <v>3</v>
      </c>
      <c r="N3" s="245" t="s">
        <v>225</v>
      </c>
      <c r="O3" s="245" t="s">
        <v>226</v>
      </c>
      <c r="P3" s="245" t="s">
        <v>3</v>
      </c>
      <c r="Q3" s="250" t="s">
        <v>228</v>
      </c>
      <c r="R3" s="248" t="s">
        <v>227</v>
      </c>
      <c r="S3" s="245" t="s">
        <v>181</v>
      </c>
      <c r="T3" s="245" t="s">
        <v>3</v>
      </c>
    </row>
    <row r="4" spans="1:26" s="68" customFormat="1" ht="94.5" customHeight="1" x14ac:dyDescent="0.25">
      <c r="A4" s="261"/>
      <c r="B4" s="249"/>
      <c r="C4" s="249"/>
      <c r="D4" s="245"/>
      <c r="E4" s="245"/>
      <c r="F4" s="248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50"/>
      <c r="R4" s="248"/>
      <c r="S4" s="245"/>
      <c r="T4" s="245"/>
    </row>
    <row r="5" spans="1:26" s="73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f t="shared" ref="E5:T5" si="0">D5+1</f>
        <v>5</v>
      </c>
      <c r="F5" s="71">
        <f t="shared" ref="F5" si="1">E5+1</f>
        <v>6</v>
      </c>
      <c r="G5" s="70">
        <f t="shared" ref="G5" si="2">F5+1</f>
        <v>7</v>
      </c>
      <c r="H5" s="70">
        <f t="shared" ref="H5" si="3">G5+1</f>
        <v>8</v>
      </c>
      <c r="I5" s="70">
        <f t="shared" ref="I5" si="4">H5+1</f>
        <v>9</v>
      </c>
      <c r="J5" s="70">
        <f t="shared" ref="J5" si="5">I5+1</f>
        <v>10</v>
      </c>
      <c r="K5" s="70">
        <v>7</v>
      </c>
      <c r="L5" s="70">
        <f t="shared" ref="L5" si="6">K5+1</f>
        <v>8</v>
      </c>
      <c r="M5" s="70">
        <f t="shared" ref="M5" si="7">L5+1</f>
        <v>9</v>
      </c>
      <c r="N5" s="70">
        <f t="shared" ref="N5" si="8">M5+1</f>
        <v>10</v>
      </c>
      <c r="O5" s="70">
        <f t="shared" ref="O5" si="9">N5+1</f>
        <v>11</v>
      </c>
      <c r="P5" s="70">
        <f t="shared" ref="P5" si="10">O5+1</f>
        <v>12</v>
      </c>
      <c r="Q5" s="70">
        <v>10</v>
      </c>
      <c r="R5" s="71">
        <f t="shared" si="0"/>
        <v>11</v>
      </c>
      <c r="S5" s="70">
        <f t="shared" si="0"/>
        <v>12</v>
      </c>
      <c r="T5" s="70">
        <f t="shared" si="0"/>
        <v>13</v>
      </c>
      <c r="U5" s="72"/>
      <c r="V5" s="72"/>
      <c r="W5" s="72"/>
      <c r="X5" s="72"/>
      <c r="Y5" s="72"/>
      <c r="Z5" s="72"/>
    </row>
    <row r="6" spans="1:26" s="74" customFormat="1" ht="26.25" customHeight="1" x14ac:dyDescent="0.2">
      <c r="A6" s="264" t="s">
        <v>6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</row>
    <row r="7" spans="1:26" s="79" customFormat="1" ht="32.25" customHeight="1" x14ac:dyDescent="0.25">
      <c r="A7" s="265">
        <v>1</v>
      </c>
      <c r="B7" s="84" t="s">
        <v>66</v>
      </c>
      <c r="C7" s="76" t="s">
        <v>14</v>
      </c>
      <c r="D7" s="116">
        <v>3112871.4720000001</v>
      </c>
      <c r="E7" s="116">
        <v>3112871.4720000001</v>
      </c>
      <c r="F7" s="117">
        <f>SUM(G7:J7)</f>
        <v>966675.94700000004</v>
      </c>
      <c r="G7" s="116">
        <v>211850.85699999999</v>
      </c>
      <c r="H7" s="116">
        <v>240217.06700000001</v>
      </c>
      <c r="I7" s="220">
        <v>248941.52799999999</v>
      </c>
      <c r="J7" s="116">
        <v>265666.495</v>
      </c>
      <c r="K7" s="116">
        <v>862435.54200000002</v>
      </c>
      <c r="L7" s="116">
        <f>F7-K7</f>
        <v>104240.40500000003</v>
      </c>
      <c r="M7" s="193">
        <f>F7/K7*100</f>
        <v>112.08674734789629</v>
      </c>
      <c r="N7" s="116">
        <f>E7/12*4</f>
        <v>1037623.824</v>
      </c>
      <c r="O7" s="116">
        <f>F7-N7</f>
        <v>-70947.876999999979</v>
      </c>
      <c r="P7" s="193">
        <f>F7/N7*100</f>
        <v>93.162466458557333</v>
      </c>
      <c r="Q7" s="193">
        <f>F7/E7*100</f>
        <v>31.054155486185781</v>
      </c>
      <c r="R7" s="117">
        <v>1065727.723</v>
      </c>
      <c r="S7" s="118">
        <f>F7-R7</f>
        <v>-99051.775999999954</v>
      </c>
      <c r="T7" s="119">
        <f>F7/R7*100</f>
        <v>90.705714615251694</v>
      </c>
    </row>
    <row r="8" spans="1:26" s="83" customFormat="1" ht="78.75" x14ac:dyDescent="0.25">
      <c r="A8" s="265"/>
      <c r="B8" s="175" t="s">
        <v>186</v>
      </c>
      <c r="C8" s="189" t="s">
        <v>185</v>
      </c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1"/>
      <c r="R8" s="121">
        <v>286220.01799999998</v>
      </c>
      <c r="S8" s="122">
        <f>D8-R8</f>
        <v>-286220.01799999998</v>
      </c>
      <c r="T8" s="123">
        <f>D8/R8*100</f>
        <v>0</v>
      </c>
    </row>
    <row r="9" spans="1:26" s="209" customFormat="1" ht="39.75" customHeight="1" x14ac:dyDescent="0.25">
      <c r="A9" s="265"/>
      <c r="B9" s="266" t="s">
        <v>211</v>
      </c>
      <c r="C9" s="266"/>
      <c r="D9" s="203">
        <f>D7</f>
        <v>3112871.4720000001</v>
      </c>
      <c r="E9" s="203">
        <f>E7</f>
        <v>3112871.4720000001</v>
      </c>
      <c r="F9" s="203">
        <f t="shared" ref="F9:F78" si="11">SUM(G9:J9)</f>
        <v>966675.94700000004</v>
      </c>
      <c r="G9" s="203">
        <f>G7</f>
        <v>211850.85699999999</v>
      </c>
      <c r="H9" s="203">
        <f>H7</f>
        <v>240217.06700000001</v>
      </c>
      <c r="I9" s="203">
        <f>I7</f>
        <v>248941.52799999999</v>
      </c>
      <c r="J9" s="203">
        <f>J7</f>
        <v>265666.495</v>
      </c>
      <c r="K9" s="203">
        <f>K7</f>
        <v>862435.54200000002</v>
      </c>
      <c r="L9" s="203">
        <f>F9-K9</f>
        <v>104240.40500000003</v>
      </c>
      <c r="M9" s="212">
        <f>F9/K9*100</f>
        <v>112.08674734789629</v>
      </c>
      <c r="N9" s="203">
        <f>E9/12*4</f>
        <v>1037623.824</v>
      </c>
      <c r="O9" s="203">
        <f>F9-N9</f>
        <v>-70947.876999999979</v>
      </c>
      <c r="P9" s="212">
        <f>F9/N9*100</f>
        <v>93.162466458557333</v>
      </c>
      <c r="Q9" s="212">
        <f>F9/E9*100</f>
        <v>31.054155486185781</v>
      </c>
      <c r="R9" s="203">
        <f>R7-R8</f>
        <v>779507.70500000007</v>
      </c>
      <c r="S9" s="213">
        <f t="shared" ref="S9" si="12">F9-R9</f>
        <v>187168.24199999997</v>
      </c>
      <c r="T9" s="214">
        <f t="shared" ref="T9" si="13">F9/R9*100</f>
        <v>124.01108299500387</v>
      </c>
    </row>
    <row r="10" spans="1:26" s="79" customFormat="1" ht="39" x14ac:dyDescent="0.25">
      <c r="A10" s="75">
        <f>A7+1</f>
        <v>2</v>
      </c>
      <c r="B10" s="84" t="s">
        <v>36</v>
      </c>
      <c r="C10" s="76" t="s">
        <v>16</v>
      </c>
      <c r="D10" s="116">
        <v>2500</v>
      </c>
      <c r="E10" s="116">
        <f>2500+300</f>
        <v>2800</v>
      </c>
      <c r="F10" s="117">
        <f t="shared" si="11"/>
        <v>2689.317</v>
      </c>
      <c r="G10" s="116">
        <v>238.74100000000001</v>
      </c>
      <c r="H10" s="116">
        <v>122.902</v>
      </c>
      <c r="I10" s="220">
        <v>2232.596</v>
      </c>
      <c r="J10" s="116">
        <v>95.078000000000003</v>
      </c>
      <c r="K10" s="116">
        <v>2688</v>
      </c>
      <c r="L10" s="116">
        <f t="shared" ref="L10:L78" si="14">F10-K10</f>
        <v>1.3170000000000073</v>
      </c>
      <c r="M10" s="193">
        <f t="shared" ref="M10:M78" si="15">F10/K10*100</f>
        <v>100.0489955357143</v>
      </c>
      <c r="N10" s="116">
        <f t="shared" ref="N10:N51" si="16">E10/12*4</f>
        <v>933.33333333333337</v>
      </c>
      <c r="O10" s="116">
        <f t="shared" ref="O10:O78" si="17">F10-N10</f>
        <v>1755.9836666666665</v>
      </c>
      <c r="P10" s="193">
        <f t="shared" ref="P10:P78" si="18">F10/N10*100</f>
        <v>288.14110714285715</v>
      </c>
      <c r="Q10" s="193">
        <f t="shared" ref="Q10:Q78" si="19">F10/E10*100</f>
        <v>96.047035714285713</v>
      </c>
      <c r="R10" s="117">
        <v>1002.427</v>
      </c>
      <c r="S10" s="118">
        <f t="shared" ref="S10:S41" si="20">F10-R10</f>
        <v>1686.8899999999999</v>
      </c>
      <c r="T10" s="119">
        <f>F10/R10*100</f>
        <v>268.28058302499829</v>
      </c>
    </row>
    <row r="11" spans="1:26" s="79" customFormat="1" ht="23.25" x14ac:dyDescent="0.25">
      <c r="A11" s="75">
        <v>3</v>
      </c>
      <c r="B11" s="84" t="s">
        <v>102</v>
      </c>
      <c r="C11" s="76" t="s">
        <v>103</v>
      </c>
      <c r="D11" s="116">
        <f>SUM(D12:D15)</f>
        <v>455.8</v>
      </c>
      <c r="E11" s="116">
        <f>SUM(E12:E15)</f>
        <v>455.8</v>
      </c>
      <c r="F11" s="117">
        <f t="shared" si="11"/>
        <v>64.444999999999993</v>
      </c>
      <c r="G11" s="116">
        <f t="shared" ref="G11:K11" si="21">SUM(G12:G15)</f>
        <v>0.97799999999999998</v>
      </c>
      <c r="H11" s="116">
        <f t="shared" ref="H11:I11" si="22">SUM(H12:H15)</f>
        <v>61.451999999999991</v>
      </c>
      <c r="I11" s="220">
        <f t="shared" si="22"/>
        <v>1.4999999999999999E-2</v>
      </c>
      <c r="J11" s="116">
        <f t="shared" si="21"/>
        <v>2</v>
      </c>
      <c r="K11" s="116">
        <f t="shared" si="21"/>
        <v>64.034999999999997</v>
      </c>
      <c r="L11" s="116">
        <f t="shared" si="14"/>
        <v>0.40999999999999659</v>
      </c>
      <c r="M11" s="193">
        <f t="shared" si="15"/>
        <v>100.64027484969158</v>
      </c>
      <c r="N11" s="116">
        <f t="shared" si="16"/>
        <v>151.93333333333334</v>
      </c>
      <c r="O11" s="116">
        <f t="shared" si="17"/>
        <v>-87.488333333333344</v>
      </c>
      <c r="P11" s="193">
        <f t="shared" si="18"/>
        <v>42.416630100921452</v>
      </c>
      <c r="Q11" s="193">
        <f t="shared" si="19"/>
        <v>14.138876700307151</v>
      </c>
      <c r="R11" s="117">
        <f>SUM(R12:R15)</f>
        <v>178.99699999999999</v>
      </c>
      <c r="S11" s="118">
        <f t="shared" si="20"/>
        <v>-114.55199999999999</v>
      </c>
      <c r="T11" s="119">
        <f>F11/R11*100</f>
        <v>36.003396704972708</v>
      </c>
    </row>
    <row r="12" spans="1:26" s="83" customFormat="1" ht="58.5" x14ac:dyDescent="0.25">
      <c r="A12" s="80" t="s">
        <v>104</v>
      </c>
      <c r="B12" s="174" t="s">
        <v>126</v>
      </c>
      <c r="C12" s="188" t="s">
        <v>127</v>
      </c>
      <c r="D12" s="120">
        <v>32</v>
      </c>
      <c r="E12" s="120">
        <v>32</v>
      </c>
      <c r="F12" s="222">
        <f t="shared" si="11"/>
        <v>8.84</v>
      </c>
      <c r="G12" s="120">
        <v>0</v>
      </c>
      <c r="H12" s="216">
        <v>8.84</v>
      </c>
      <c r="I12" s="221">
        <v>0</v>
      </c>
      <c r="J12" s="120">
        <v>0</v>
      </c>
      <c r="K12" s="120">
        <v>8.8000000000000007</v>
      </c>
      <c r="L12" s="120">
        <f t="shared" si="14"/>
        <v>3.9999999999999147E-2</v>
      </c>
      <c r="M12" s="194">
        <f t="shared" si="15"/>
        <v>100.45454545454544</v>
      </c>
      <c r="N12" s="120">
        <f t="shared" si="16"/>
        <v>10.666666666666666</v>
      </c>
      <c r="O12" s="120">
        <f t="shared" si="17"/>
        <v>-1.8266666666666662</v>
      </c>
      <c r="P12" s="194">
        <f t="shared" si="18"/>
        <v>82.875</v>
      </c>
      <c r="Q12" s="194">
        <f t="shared" si="19"/>
        <v>27.625</v>
      </c>
      <c r="R12" s="121">
        <v>4.2080000000000002</v>
      </c>
      <c r="S12" s="122">
        <f t="shared" si="20"/>
        <v>4.6319999999999997</v>
      </c>
      <c r="T12" s="123">
        <f>F12/R12*100</f>
        <v>210.07604562737643</v>
      </c>
    </row>
    <row r="13" spans="1:26" s="83" customFormat="1" ht="78" x14ac:dyDescent="0.25">
      <c r="A13" s="80" t="s">
        <v>105</v>
      </c>
      <c r="B13" s="174" t="s">
        <v>97</v>
      </c>
      <c r="C13" s="67" t="s">
        <v>98</v>
      </c>
      <c r="D13" s="120">
        <v>305</v>
      </c>
      <c r="E13" s="120">
        <v>305</v>
      </c>
      <c r="F13" s="222">
        <f t="shared" si="11"/>
        <v>35.134999999999998</v>
      </c>
      <c r="G13" s="120">
        <v>0</v>
      </c>
      <c r="H13" s="216">
        <v>35.134999999999998</v>
      </c>
      <c r="I13" s="221">
        <v>0</v>
      </c>
      <c r="J13" s="120">
        <v>0</v>
      </c>
      <c r="K13" s="120">
        <v>35</v>
      </c>
      <c r="L13" s="120">
        <f t="shared" si="14"/>
        <v>0.13499999999999801</v>
      </c>
      <c r="M13" s="194">
        <f t="shared" si="15"/>
        <v>100.38571428571427</v>
      </c>
      <c r="N13" s="120">
        <f t="shared" si="16"/>
        <v>101.66666666666667</v>
      </c>
      <c r="O13" s="120">
        <f t="shared" si="17"/>
        <v>-66.531666666666666</v>
      </c>
      <c r="P13" s="194">
        <f t="shared" si="18"/>
        <v>34.559016393442619</v>
      </c>
      <c r="Q13" s="194">
        <f t="shared" si="19"/>
        <v>11.519672131147541</v>
      </c>
      <c r="R13" s="121">
        <v>143.292</v>
      </c>
      <c r="S13" s="122">
        <f t="shared" si="20"/>
        <v>-108.15700000000001</v>
      </c>
      <c r="T13" s="123">
        <f t="shared" ref="T13:T23" si="23">F13/R13*100</f>
        <v>24.519861541467773</v>
      </c>
    </row>
    <row r="14" spans="1:26" s="83" customFormat="1" ht="39" x14ac:dyDescent="0.25">
      <c r="A14" s="80" t="s">
        <v>106</v>
      </c>
      <c r="B14" s="174" t="s">
        <v>124</v>
      </c>
      <c r="C14" s="67" t="s">
        <v>101</v>
      </c>
      <c r="D14" s="120">
        <v>117</v>
      </c>
      <c r="E14" s="120">
        <v>117</v>
      </c>
      <c r="F14" s="222">
        <f t="shared" si="11"/>
        <v>20.286000000000001</v>
      </c>
      <c r="G14" s="120">
        <v>0.97799999999999998</v>
      </c>
      <c r="H14" s="216">
        <v>17.292999999999999</v>
      </c>
      <c r="I14" s="221">
        <v>1.4999999999999999E-2</v>
      </c>
      <c r="J14" s="120">
        <v>2</v>
      </c>
      <c r="K14" s="120">
        <v>20.055</v>
      </c>
      <c r="L14" s="120">
        <f t="shared" si="14"/>
        <v>0.23100000000000165</v>
      </c>
      <c r="M14" s="194">
        <f t="shared" si="15"/>
        <v>101.15183246073298</v>
      </c>
      <c r="N14" s="120">
        <f t="shared" si="16"/>
        <v>39</v>
      </c>
      <c r="O14" s="120">
        <f t="shared" si="17"/>
        <v>-18.713999999999999</v>
      </c>
      <c r="P14" s="194">
        <f t="shared" si="18"/>
        <v>52.015384615384619</v>
      </c>
      <c r="Q14" s="194">
        <f t="shared" si="19"/>
        <v>17.338461538461537</v>
      </c>
      <c r="R14" s="121">
        <v>31.337</v>
      </c>
      <c r="S14" s="122">
        <f t="shared" si="20"/>
        <v>-11.050999999999998</v>
      </c>
      <c r="T14" s="123">
        <f t="shared" si="23"/>
        <v>64.734977821744266</v>
      </c>
    </row>
    <row r="15" spans="1:26" s="83" customFormat="1" ht="39" x14ac:dyDescent="0.25">
      <c r="A15" s="80" t="s">
        <v>128</v>
      </c>
      <c r="B15" s="174" t="s">
        <v>123</v>
      </c>
      <c r="C15" s="67" t="s">
        <v>122</v>
      </c>
      <c r="D15" s="120">
        <v>1.8</v>
      </c>
      <c r="E15" s="120">
        <v>1.8</v>
      </c>
      <c r="F15" s="222">
        <f t="shared" si="11"/>
        <v>0.184</v>
      </c>
      <c r="G15" s="120">
        <v>0</v>
      </c>
      <c r="H15" s="216">
        <v>0.184</v>
      </c>
      <c r="I15" s="221">
        <v>0</v>
      </c>
      <c r="J15" s="120">
        <v>0</v>
      </c>
      <c r="K15" s="120">
        <v>0.18</v>
      </c>
      <c r="L15" s="120">
        <f t="shared" si="14"/>
        <v>4.0000000000000036E-3</v>
      </c>
      <c r="M15" s="194">
        <f t="shared" si="15"/>
        <v>102.22222222222221</v>
      </c>
      <c r="N15" s="120">
        <f t="shared" si="16"/>
        <v>0.6</v>
      </c>
      <c r="O15" s="120">
        <f t="shared" si="17"/>
        <v>-0.41599999999999998</v>
      </c>
      <c r="P15" s="194">
        <f t="shared" si="18"/>
        <v>30.666666666666671</v>
      </c>
      <c r="Q15" s="194">
        <f t="shared" si="19"/>
        <v>10.222222222222221</v>
      </c>
      <c r="R15" s="121">
        <v>0.16</v>
      </c>
      <c r="S15" s="122">
        <f t="shared" si="20"/>
        <v>2.3999999999999994E-2</v>
      </c>
      <c r="T15" s="123">
        <f t="shared" si="23"/>
        <v>114.99999999999999</v>
      </c>
    </row>
    <row r="16" spans="1:26" s="79" customFormat="1" ht="23.25" x14ac:dyDescent="0.25">
      <c r="A16" s="75">
        <v>4</v>
      </c>
      <c r="B16" s="104" t="s">
        <v>87</v>
      </c>
      <c r="C16" s="99" t="s">
        <v>86</v>
      </c>
      <c r="D16" s="116">
        <f>D17+D20</f>
        <v>459000</v>
      </c>
      <c r="E16" s="116">
        <f>E17+E20</f>
        <v>456597</v>
      </c>
      <c r="F16" s="117">
        <f t="shared" si="11"/>
        <v>137104.29200000002</v>
      </c>
      <c r="G16" s="116">
        <f t="shared" ref="G16:K16" si="24">G17+G20</f>
        <v>40518.83</v>
      </c>
      <c r="H16" s="116">
        <f t="shared" ref="H16:I16" si="25">H17+H20</f>
        <v>25927.567999999999</v>
      </c>
      <c r="I16" s="220">
        <f t="shared" si="25"/>
        <v>34284.724000000002</v>
      </c>
      <c r="J16" s="116">
        <f t="shared" si="24"/>
        <v>36373.17</v>
      </c>
      <c r="K16" s="116">
        <f t="shared" si="24"/>
        <v>133814</v>
      </c>
      <c r="L16" s="116">
        <f t="shared" si="14"/>
        <v>3290.2920000000158</v>
      </c>
      <c r="M16" s="193">
        <f t="shared" si="15"/>
        <v>102.45885482834383</v>
      </c>
      <c r="N16" s="116">
        <f t="shared" si="16"/>
        <v>152199</v>
      </c>
      <c r="O16" s="116">
        <f t="shared" si="17"/>
        <v>-15094.707999999984</v>
      </c>
      <c r="P16" s="193">
        <f t="shared" si="18"/>
        <v>90.082255468169976</v>
      </c>
      <c r="Q16" s="193">
        <f t="shared" si="19"/>
        <v>30.027418489389991</v>
      </c>
      <c r="R16" s="117">
        <f>R17+R20</f>
        <v>123078.06800000001</v>
      </c>
      <c r="S16" s="118">
        <f t="shared" si="20"/>
        <v>14026.224000000002</v>
      </c>
      <c r="T16" s="119">
        <f t="shared" si="23"/>
        <v>111.39620098684031</v>
      </c>
    </row>
    <row r="17" spans="1:20" s="83" customFormat="1" ht="39" x14ac:dyDescent="0.25">
      <c r="A17" s="80" t="s">
        <v>118</v>
      </c>
      <c r="B17" s="174" t="s">
        <v>162</v>
      </c>
      <c r="C17" s="262" t="s">
        <v>170</v>
      </c>
      <c r="D17" s="120">
        <f>SUM(D18:D19)</f>
        <v>153000</v>
      </c>
      <c r="E17" s="120">
        <f>SUM(E18:E19)</f>
        <v>153000</v>
      </c>
      <c r="F17" s="222">
        <f t="shared" si="11"/>
        <v>50563.859999999993</v>
      </c>
      <c r="G17" s="120">
        <f t="shared" ref="G17:K17" si="26">SUM(G18:G19)</f>
        <v>13410.271999999999</v>
      </c>
      <c r="H17" s="216">
        <f t="shared" ref="H17:I17" si="27">SUM(H18:H19)</f>
        <v>10447.123</v>
      </c>
      <c r="I17" s="221">
        <f t="shared" si="27"/>
        <v>12704.659</v>
      </c>
      <c r="J17" s="120">
        <f t="shared" si="26"/>
        <v>14001.805999999999</v>
      </c>
      <c r="K17" s="120">
        <f t="shared" si="26"/>
        <v>49960</v>
      </c>
      <c r="L17" s="120">
        <f t="shared" si="14"/>
        <v>603.85999999999331</v>
      </c>
      <c r="M17" s="194">
        <f t="shared" si="15"/>
        <v>101.20868694955965</v>
      </c>
      <c r="N17" s="120">
        <f t="shared" si="16"/>
        <v>51000</v>
      </c>
      <c r="O17" s="120">
        <f t="shared" si="17"/>
        <v>-436.14000000000669</v>
      </c>
      <c r="P17" s="194">
        <f t="shared" si="18"/>
        <v>99.144823529411752</v>
      </c>
      <c r="Q17" s="194">
        <f t="shared" si="19"/>
        <v>33.048274509803917</v>
      </c>
      <c r="R17" s="121">
        <f>SUM(R18:R19)</f>
        <v>37344.498000000007</v>
      </c>
      <c r="S17" s="122">
        <f t="shared" si="20"/>
        <v>13219.361999999986</v>
      </c>
      <c r="T17" s="123">
        <f t="shared" si="23"/>
        <v>135.39841933341822</v>
      </c>
    </row>
    <row r="18" spans="1:20" s="83" customFormat="1" ht="39" x14ac:dyDescent="0.25">
      <c r="A18" s="80" t="s">
        <v>158</v>
      </c>
      <c r="B18" s="174" t="s">
        <v>91</v>
      </c>
      <c r="C18" s="262"/>
      <c r="D18" s="120">
        <v>34000</v>
      </c>
      <c r="E18" s="120">
        <v>34000</v>
      </c>
      <c r="F18" s="222">
        <f t="shared" si="11"/>
        <v>7892.3230000000003</v>
      </c>
      <c r="G18" s="120">
        <v>1880.6579999999999</v>
      </c>
      <c r="H18" s="216">
        <v>1575.9369999999999</v>
      </c>
      <c r="I18" s="221">
        <v>2017.0070000000001</v>
      </c>
      <c r="J18" s="120">
        <v>2418.721</v>
      </c>
      <c r="K18" s="120">
        <v>7760</v>
      </c>
      <c r="L18" s="120">
        <f t="shared" si="14"/>
        <v>132.32300000000032</v>
      </c>
      <c r="M18" s="194">
        <f t="shared" si="15"/>
        <v>101.70519329896908</v>
      </c>
      <c r="N18" s="120">
        <f t="shared" si="16"/>
        <v>11333.333333333334</v>
      </c>
      <c r="O18" s="120">
        <f t="shared" si="17"/>
        <v>-3441.0103333333336</v>
      </c>
      <c r="P18" s="194">
        <f t="shared" si="18"/>
        <v>69.638144117647059</v>
      </c>
      <c r="Q18" s="194">
        <f t="shared" si="19"/>
        <v>23.212714705882355</v>
      </c>
      <c r="R18" s="121">
        <v>6218.8919999999998</v>
      </c>
      <c r="S18" s="122">
        <f t="shared" si="20"/>
        <v>1673.4310000000005</v>
      </c>
      <c r="T18" s="123">
        <f t="shared" si="23"/>
        <v>126.90882877528666</v>
      </c>
    </row>
    <row r="19" spans="1:20" s="83" customFormat="1" ht="39" x14ac:dyDescent="0.25">
      <c r="A19" s="80" t="s">
        <v>159</v>
      </c>
      <c r="B19" s="174" t="s">
        <v>92</v>
      </c>
      <c r="C19" s="262"/>
      <c r="D19" s="120">
        <v>119000</v>
      </c>
      <c r="E19" s="120">
        <v>119000</v>
      </c>
      <c r="F19" s="222">
        <f t="shared" si="11"/>
        <v>42671.536999999997</v>
      </c>
      <c r="G19" s="120">
        <v>11529.614</v>
      </c>
      <c r="H19" s="216">
        <v>8871.1859999999997</v>
      </c>
      <c r="I19" s="221">
        <v>10687.652</v>
      </c>
      <c r="J19" s="120">
        <v>11583.084999999999</v>
      </c>
      <c r="K19" s="120">
        <v>42200</v>
      </c>
      <c r="L19" s="120">
        <f t="shared" si="14"/>
        <v>471.53699999999662</v>
      </c>
      <c r="M19" s="194">
        <f t="shared" si="15"/>
        <v>101.11738625592417</v>
      </c>
      <c r="N19" s="120">
        <f t="shared" si="16"/>
        <v>39666.666666666664</v>
      </c>
      <c r="O19" s="120">
        <f t="shared" si="17"/>
        <v>3004.8703333333324</v>
      </c>
      <c r="P19" s="194">
        <f t="shared" si="18"/>
        <v>107.57530336134454</v>
      </c>
      <c r="Q19" s="194">
        <f t="shared" si="19"/>
        <v>35.858434453781513</v>
      </c>
      <c r="R19" s="121">
        <v>31125.606000000003</v>
      </c>
      <c r="S19" s="122">
        <f t="shared" si="20"/>
        <v>11545.930999999993</v>
      </c>
      <c r="T19" s="123">
        <f t="shared" si="23"/>
        <v>137.09463841442957</v>
      </c>
    </row>
    <row r="20" spans="1:20" s="83" customFormat="1" ht="39" x14ac:dyDescent="0.25">
      <c r="A20" s="80" t="s">
        <v>119</v>
      </c>
      <c r="B20" s="174" t="s">
        <v>93</v>
      </c>
      <c r="C20" s="67" t="s">
        <v>56</v>
      </c>
      <c r="D20" s="120">
        <f t="shared" ref="D20:E20" si="28">SUM(D21:D22)</f>
        <v>306000</v>
      </c>
      <c r="E20" s="120">
        <f t="shared" si="28"/>
        <v>303597</v>
      </c>
      <c r="F20" s="222">
        <f t="shared" si="11"/>
        <v>86540.432000000001</v>
      </c>
      <c r="G20" s="120">
        <f t="shared" ref="G20:K20" si="29">SUM(G21:G22)</f>
        <v>27108.558000000001</v>
      </c>
      <c r="H20" s="216">
        <f t="shared" ref="H20:I20" si="30">SUM(H21:H22)</f>
        <v>15480.445</v>
      </c>
      <c r="I20" s="221">
        <f t="shared" si="30"/>
        <v>21580.065000000002</v>
      </c>
      <c r="J20" s="120">
        <f t="shared" si="29"/>
        <v>22371.364000000001</v>
      </c>
      <c r="K20" s="120">
        <f t="shared" si="29"/>
        <v>83854</v>
      </c>
      <c r="L20" s="120">
        <f t="shared" si="14"/>
        <v>2686.4320000000007</v>
      </c>
      <c r="M20" s="194">
        <f t="shared" si="15"/>
        <v>103.20370167195362</v>
      </c>
      <c r="N20" s="120">
        <f t="shared" si="16"/>
        <v>101199</v>
      </c>
      <c r="O20" s="120">
        <f t="shared" si="17"/>
        <v>-14658.567999999999</v>
      </c>
      <c r="P20" s="194">
        <f t="shared" si="18"/>
        <v>85.515105880492897</v>
      </c>
      <c r="Q20" s="194">
        <f t="shared" si="19"/>
        <v>28.505035293497631</v>
      </c>
      <c r="R20" s="121">
        <f>R21+R22</f>
        <v>85733.57</v>
      </c>
      <c r="S20" s="122">
        <f t="shared" si="20"/>
        <v>806.86199999999371</v>
      </c>
      <c r="T20" s="123">
        <f t="shared" si="23"/>
        <v>100.94112726205149</v>
      </c>
    </row>
    <row r="21" spans="1:20" s="83" customFormat="1" ht="117" x14ac:dyDescent="0.25">
      <c r="A21" s="80" t="s">
        <v>160</v>
      </c>
      <c r="B21" s="174" t="s">
        <v>133</v>
      </c>
      <c r="C21" s="67">
        <v>14040100</v>
      </c>
      <c r="D21" s="120">
        <v>179000</v>
      </c>
      <c r="E21" s="120">
        <f>179000-2403</f>
        <v>176597</v>
      </c>
      <c r="F21" s="222">
        <f t="shared" si="11"/>
        <v>48182.915000000001</v>
      </c>
      <c r="G21" s="120">
        <v>15616.877</v>
      </c>
      <c r="H21" s="216">
        <v>7234.652</v>
      </c>
      <c r="I21" s="221">
        <v>12636.714</v>
      </c>
      <c r="J21" s="120">
        <v>12694.672</v>
      </c>
      <c r="K21" s="120">
        <v>48084</v>
      </c>
      <c r="L21" s="120">
        <f t="shared" si="14"/>
        <v>98.915000000000873</v>
      </c>
      <c r="M21" s="194">
        <f t="shared" si="15"/>
        <v>100.20571291905831</v>
      </c>
      <c r="N21" s="120">
        <f t="shared" si="16"/>
        <v>58865.666666666664</v>
      </c>
      <c r="O21" s="120">
        <f t="shared" si="17"/>
        <v>-10682.751666666663</v>
      </c>
      <c r="P21" s="194">
        <f t="shared" si="18"/>
        <v>81.852321953374073</v>
      </c>
      <c r="Q21" s="194">
        <f t="shared" si="19"/>
        <v>27.284107317791356</v>
      </c>
      <c r="R21" s="121">
        <v>51343.254000000001</v>
      </c>
      <c r="S21" s="122">
        <f t="shared" si="20"/>
        <v>-3160.3389999999999</v>
      </c>
      <c r="T21" s="123">
        <f t="shared" si="23"/>
        <v>93.84468502911794</v>
      </c>
    </row>
    <row r="22" spans="1:20" s="83" customFormat="1" ht="78" x14ac:dyDescent="0.25">
      <c r="A22" s="80" t="s">
        <v>161</v>
      </c>
      <c r="B22" s="174" t="s">
        <v>134</v>
      </c>
      <c r="C22" s="67">
        <v>14040200</v>
      </c>
      <c r="D22" s="120">
        <v>127000</v>
      </c>
      <c r="E22" s="120">
        <v>127000</v>
      </c>
      <c r="F22" s="222">
        <f t="shared" si="11"/>
        <v>38357.517000000007</v>
      </c>
      <c r="G22" s="120">
        <v>11491.681</v>
      </c>
      <c r="H22" s="216">
        <v>8245.7929999999997</v>
      </c>
      <c r="I22" s="221">
        <v>8943.3510000000006</v>
      </c>
      <c r="J22" s="120">
        <v>9676.6919999999991</v>
      </c>
      <c r="K22" s="120">
        <v>35770</v>
      </c>
      <c r="L22" s="120">
        <f t="shared" si="14"/>
        <v>2587.5170000000071</v>
      </c>
      <c r="M22" s="194">
        <f t="shared" si="15"/>
        <v>107.2337629298295</v>
      </c>
      <c r="N22" s="120">
        <f t="shared" si="16"/>
        <v>42333.333333333336</v>
      </c>
      <c r="O22" s="120">
        <f t="shared" si="17"/>
        <v>-3975.8163333333287</v>
      </c>
      <c r="P22" s="194">
        <f t="shared" si="18"/>
        <v>90.608307874015765</v>
      </c>
      <c r="Q22" s="194">
        <f t="shared" si="19"/>
        <v>30.202769291338587</v>
      </c>
      <c r="R22" s="121">
        <v>34390.315999999999</v>
      </c>
      <c r="S22" s="122">
        <f t="shared" si="20"/>
        <v>3967.2010000000082</v>
      </c>
      <c r="T22" s="123">
        <f t="shared" si="23"/>
        <v>111.53580851074474</v>
      </c>
    </row>
    <row r="23" spans="1:20" s="105" customFormat="1" ht="23.25" x14ac:dyDescent="0.25">
      <c r="A23" s="75">
        <v>5</v>
      </c>
      <c r="B23" s="84" t="s">
        <v>219</v>
      </c>
      <c r="C23" s="76" t="s">
        <v>136</v>
      </c>
      <c r="D23" s="116">
        <v>0</v>
      </c>
      <c r="E23" s="116">
        <v>0</v>
      </c>
      <c r="F23" s="117">
        <f t="shared" si="11"/>
        <v>1.867</v>
      </c>
      <c r="G23" s="116">
        <v>0</v>
      </c>
      <c r="H23" s="220">
        <v>0</v>
      </c>
      <c r="I23" s="220">
        <v>1.867</v>
      </c>
      <c r="J23" s="116"/>
      <c r="K23" s="116"/>
      <c r="L23" s="116">
        <f t="shared" si="14"/>
        <v>1.867</v>
      </c>
      <c r="M23" s="193"/>
      <c r="N23" s="116">
        <f t="shared" si="16"/>
        <v>0</v>
      </c>
      <c r="O23" s="116">
        <f t="shared" si="17"/>
        <v>1.867</v>
      </c>
      <c r="P23" s="193"/>
      <c r="Q23" s="193"/>
      <c r="R23" s="117">
        <v>1.2E-2</v>
      </c>
      <c r="S23" s="118">
        <f t="shared" si="20"/>
        <v>1.855</v>
      </c>
      <c r="T23" s="119">
        <f t="shared" si="23"/>
        <v>15558.333333333334</v>
      </c>
    </row>
    <row r="24" spans="1:20" s="105" customFormat="1" ht="39" x14ac:dyDescent="0.25">
      <c r="A24" s="75">
        <v>5</v>
      </c>
      <c r="B24" s="84" t="s">
        <v>132</v>
      </c>
      <c r="C24" s="76" t="s">
        <v>38</v>
      </c>
      <c r="D24" s="116">
        <f>D25+D26+D27+D29+D28</f>
        <v>1522620.5</v>
      </c>
      <c r="E24" s="116">
        <f>E25+E26+E27+E29+E28</f>
        <v>1522620.5</v>
      </c>
      <c r="F24" s="117">
        <f t="shared" si="11"/>
        <v>581480.33200000005</v>
      </c>
      <c r="G24" s="116">
        <f t="shared" ref="G24:K24" si="31">G25+G26+G27+G29+G28</f>
        <v>166303.29399999999</v>
      </c>
      <c r="H24" s="116">
        <f t="shared" ref="H24:I24" si="32">H25+H26+H27+H29+H28</f>
        <v>166294.84600000002</v>
      </c>
      <c r="I24" s="220">
        <f t="shared" si="32"/>
        <v>80628.866000000009</v>
      </c>
      <c r="J24" s="116">
        <f t="shared" si="31"/>
        <v>168253.326</v>
      </c>
      <c r="K24" s="116">
        <f t="shared" si="31"/>
        <v>565456.59100000001</v>
      </c>
      <c r="L24" s="116">
        <f t="shared" si="14"/>
        <v>16023.741000000038</v>
      </c>
      <c r="M24" s="193">
        <f t="shared" si="15"/>
        <v>102.83377031146854</v>
      </c>
      <c r="N24" s="116">
        <f t="shared" si="16"/>
        <v>507540.16666666669</v>
      </c>
      <c r="O24" s="116">
        <f t="shared" si="17"/>
        <v>73940.165333333367</v>
      </c>
      <c r="P24" s="193">
        <f t="shared" si="18"/>
        <v>114.56833767836439</v>
      </c>
      <c r="Q24" s="193">
        <f t="shared" si="19"/>
        <v>38.189445892788129</v>
      </c>
      <c r="R24" s="117">
        <f t="shared" ref="R24" si="33">R25+R26+R27+R29+R28</f>
        <v>436144.652</v>
      </c>
      <c r="S24" s="118">
        <f t="shared" si="20"/>
        <v>145335.68000000005</v>
      </c>
      <c r="T24" s="119">
        <f t="shared" ref="T24:T31" si="34">F24/R24*100</f>
        <v>133.32281602755961</v>
      </c>
    </row>
    <row r="25" spans="1:20" s="107" customFormat="1" ht="23.25" x14ac:dyDescent="0.25">
      <c r="A25" s="106" t="s">
        <v>193</v>
      </c>
      <c r="B25" s="175" t="s">
        <v>57</v>
      </c>
      <c r="C25" s="247" t="s">
        <v>44</v>
      </c>
      <c r="D25" s="120">
        <f>1130+29500+34000+106300</f>
        <v>170930</v>
      </c>
      <c r="E25" s="120">
        <f>1130+29500+34000+106300</f>
        <v>170930</v>
      </c>
      <c r="F25" s="222">
        <f t="shared" si="11"/>
        <v>73202.701000000001</v>
      </c>
      <c r="G25" s="120">
        <v>22984.595000000001</v>
      </c>
      <c r="H25" s="216">
        <v>12356.476000000001</v>
      </c>
      <c r="I25" s="221">
        <v>11892.504000000001</v>
      </c>
      <c r="J25" s="120">
        <v>25969.126</v>
      </c>
      <c r="K25" s="120">
        <v>71685.789000000004</v>
      </c>
      <c r="L25" s="120">
        <f t="shared" si="14"/>
        <v>1516.9119999999966</v>
      </c>
      <c r="M25" s="194">
        <f t="shared" si="15"/>
        <v>102.11605678218871</v>
      </c>
      <c r="N25" s="120">
        <f t="shared" si="16"/>
        <v>56976.666666666664</v>
      </c>
      <c r="O25" s="120">
        <f t="shared" si="17"/>
        <v>16226.034333333337</v>
      </c>
      <c r="P25" s="194">
        <f t="shared" si="18"/>
        <v>128.47838471889077</v>
      </c>
      <c r="Q25" s="194">
        <f t="shared" si="19"/>
        <v>42.826128239630258</v>
      </c>
      <c r="R25" s="121">
        <v>52115.679000000004</v>
      </c>
      <c r="S25" s="122">
        <f t="shared" si="20"/>
        <v>21087.021999999997</v>
      </c>
      <c r="T25" s="123">
        <f t="shared" si="34"/>
        <v>140.46195387764206</v>
      </c>
    </row>
    <row r="26" spans="1:20" s="107" customFormat="1" ht="23.25" x14ac:dyDescent="0.25">
      <c r="A26" s="80" t="s">
        <v>194</v>
      </c>
      <c r="B26" s="175" t="s">
        <v>7</v>
      </c>
      <c r="C26" s="247"/>
      <c r="D26" s="120">
        <f>139000+145000+28500+14000</f>
        <v>326500</v>
      </c>
      <c r="E26" s="120">
        <f>139000+145000+28500+14000</f>
        <v>326500</v>
      </c>
      <c r="F26" s="222">
        <f t="shared" si="11"/>
        <v>108756.027</v>
      </c>
      <c r="G26" s="120">
        <v>22702.335999999999</v>
      </c>
      <c r="H26" s="216">
        <v>31099.098999999998</v>
      </c>
      <c r="I26" s="221">
        <v>28599.886999999999</v>
      </c>
      <c r="J26" s="120">
        <v>26354.705000000002</v>
      </c>
      <c r="K26" s="120">
        <v>106015</v>
      </c>
      <c r="L26" s="120">
        <f t="shared" si="14"/>
        <v>2741.0270000000019</v>
      </c>
      <c r="M26" s="194">
        <f t="shared" si="15"/>
        <v>102.5855086544357</v>
      </c>
      <c r="N26" s="120">
        <f t="shared" si="16"/>
        <v>108833.33333333333</v>
      </c>
      <c r="O26" s="120">
        <f t="shared" si="17"/>
        <v>-77.30633333332662</v>
      </c>
      <c r="P26" s="194">
        <f t="shared" si="18"/>
        <v>99.928968147013791</v>
      </c>
      <c r="Q26" s="194">
        <f t="shared" si="19"/>
        <v>33.309656049004595</v>
      </c>
      <c r="R26" s="121">
        <v>93105.233000000007</v>
      </c>
      <c r="S26" s="122">
        <f t="shared" si="20"/>
        <v>15650.793999999994</v>
      </c>
      <c r="T26" s="123">
        <f t="shared" si="34"/>
        <v>116.80978984285449</v>
      </c>
    </row>
    <row r="27" spans="1:20" s="107" customFormat="1" ht="23.25" x14ac:dyDescent="0.25">
      <c r="A27" s="80" t="s">
        <v>195</v>
      </c>
      <c r="B27" s="175" t="s">
        <v>58</v>
      </c>
      <c r="C27" s="247"/>
      <c r="D27" s="120">
        <f>1000+980.5</f>
        <v>1980.5</v>
      </c>
      <c r="E27" s="120">
        <f>1000+980.5</f>
        <v>1980.5</v>
      </c>
      <c r="F27" s="222">
        <f t="shared" si="11"/>
        <v>1031.232</v>
      </c>
      <c r="G27" s="120">
        <v>305.23899999999998</v>
      </c>
      <c r="H27" s="216">
        <v>303.30200000000002</v>
      </c>
      <c r="I27" s="221">
        <v>121.78100000000001</v>
      </c>
      <c r="J27" s="120">
        <v>300.91000000000003</v>
      </c>
      <c r="K27" s="120">
        <v>1013.5</v>
      </c>
      <c r="L27" s="120">
        <f t="shared" si="14"/>
        <v>17.731999999999971</v>
      </c>
      <c r="M27" s="194">
        <f t="shared" si="15"/>
        <v>101.74958066107547</v>
      </c>
      <c r="N27" s="120">
        <f t="shared" si="16"/>
        <v>660.16666666666663</v>
      </c>
      <c r="O27" s="120">
        <f t="shared" si="17"/>
        <v>371.06533333333334</v>
      </c>
      <c r="P27" s="194">
        <f t="shared" si="18"/>
        <v>156.20782630648827</v>
      </c>
      <c r="Q27" s="194">
        <f t="shared" si="19"/>
        <v>52.069275435496088</v>
      </c>
      <c r="R27" s="121">
        <v>467.22799999999995</v>
      </c>
      <c r="S27" s="122">
        <f t="shared" si="20"/>
        <v>564.00400000000002</v>
      </c>
      <c r="T27" s="123">
        <f t="shared" si="34"/>
        <v>220.71279974659052</v>
      </c>
    </row>
    <row r="28" spans="1:20" s="111" customFormat="1" ht="23.25" x14ac:dyDescent="0.25">
      <c r="A28" s="80" t="s">
        <v>196</v>
      </c>
      <c r="B28" s="175" t="s">
        <v>40</v>
      </c>
      <c r="C28" s="110" t="s">
        <v>39</v>
      </c>
      <c r="D28" s="120">
        <v>2710</v>
      </c>
      <c r="E28" s="120">
        <v>2710</v>
      </c>
      <c r="F28" s="222">
        <f t="shared" si="11"/>
        <v>982.53399999999999</v>
      </c>
      <c r="G28" s="120">
        <v>229.9</v>
      </c>
      <c r="H28" s="216">
        <v>363.15899999999999</v>
      </c>
      <c r="I28" s="221">
        <v>125.917</v>
      </c>
      <c r="J28" s="120">
        <v>263.55799999999999</v>
      </c>
      <c r="K28" s="120">
        <v>962</v>
      </c>
      <c r="L28" s="120">
        <f t="shared" si="14"/>
        <v>20.533999999999992</v>
      </c>
      <c r="M28" s="194">
        <f t="shared" si="15"/>
        <v>102.13451143451144</v>
      </c>
      <c r="N28" s="120">
        <f t="shared" si="16"/>
        <v>903.33333333333337</v>
      </c>
      <c r="O28" s="120">
        <f t="shared" si="17"/>
        <v>79.200666666666621</v>
      </c>
      <c r="P28" s="194">
        <f t="shared" si="18"/>
        <v>108.76760147601476</v>
      </c>
      <c r="Q28" s="194">
        <f t="shared" si="19"/>
        <v>36.255867158671585</v>
      </c>
      <c r="R28" s="121">
        <v>730.27299999999991</v>
      </c>
      <c r="S28" s="120">
        <f t="shared" si="20"/>
        <v>252.26100000000008</v>
      </c>
      <c r="T28" s="123">
        <f t="shared" si="34"/>
        <v>134.54338309098105</v>
      </c>
    </row>
    <row r="29" spans="1:20" s="107" customFormat="1" ht="23.25" x14ac:dyDescent="0.25">
      <c r="A29" s="80" t="s">
        <v>197</v>
      </c>
      <c r="B29" s="175" t="s">
        <v>33</v>
      </c>
      <c r="C29" s="189" t="s">
        <v>34</v>
      </c>
      <c r="D29" s="120">
        <v>1020500</v>
      </c>
      <c r="E29" s="120">
        <v>1020500</v>
      </c>
      <c r="F29" s="222">
        <f t="shared" si="11"/>
        <v>397507.83799999999</v>
      </c>
      <c r="G29" s="120">
        <v>120081.224</v>
      </c>
      <c r="H29" s="216">
        <v>122172.81</v>
      </c>
      <c r="I29" s="221">
        <v>39888.777000000002</v>
      </c>
      <c r="J29" s="120">
        <v>115365.027</v>
      </c>
      <c r="K29" s="120">
        <v>385780.30200000003</v>
      </c>
      <c r="L29" s="120">
        <f t="shared" si="14"/>
        <v>11727.535999999964</v>
      </c>
      <c r="M29" s="194">
        <f t="shared" si="15"/>
        <v>103.03995199837858</v>
      </c>
      <c r="N29" s="120">
        <f t="shared" si="16"/>
        <v>340166.66666666669</v>
      </c>
      <c r="O29" s="120">
        <f t="shared" si="17"/>
        <v>57341.171333333303</v>
      </c>
      <c r="P29" s="194">
        <f t="shared" si="18"/>
        <v>116.85678726114648</v>
      </c>
      <c r="Q29" s="194">
        <f t="shared" si="19"/>
        <v>38.952262420382169</v>
      </c>
      <c r="R29" s="121">
        <v>289726.239</v>
      </c>
      <c r="S29" s="122">
        <f t="shared" si="20"/>
        <v>107781.59899999999</v>
      </c>
      <c r="T29" s="123">
        <f t="shared" si="34"/>
        <v>137.20118666918532</v>
      </c>
    </row>
    <row r="30" spans="1:20" s="79" customFormat="1" ht="58.5" x14ac:dyDescent="0.25">
      <c r="A30" s="75">
        <v>6</v>
      </c>
      <c r="B30" s="84" t="s">
        <v>46</v>
      </c>
      <c r="C30" s="76" t="s">
        <v>17</v>
      </c>
      <c r="D30" s="116">
        <v>1900</v>
      </c>
      <c r="E30" s="116">
        <v>1900</v>
      </c>
      <c r="F30" s="117">
        <f t="shared" si="11"/>
        <v>808.88900000000001</v>
      </c>
      <c r="G30" s="116">
        <v>73</v>
      </c>
      <c r="H30" s="116">
        <v>59.345999999999997</v>
      </c>
      <c r="I30" s="220">
        <v>643.04899999999998</v>
      </c>
      <c r="J30" s="116">
        <v>33.494</v>
      </c>
      <c r="K30" s="116">
        <v>808</v>
      </c>
      <c r="L30" s="116">
        <f t="shared" si="14"/>
        <v>0.88900000000001</v>
      </c>
      <c r="M30" s="193">
        <f t="shared" si="15"/>
        <v>100.11002475247525</v>
      </c>
      <c r="N30" s="116">
        <f t="shared" si="16"/>
        <v>633.33333333333337</v>
      </c>
      <c r="O30" s="116">
        <f t="shared" si="17"/>
        <v>175.55566666666664</v>
      </c>
      <c r="P30" s="193">
        <f t="shared" si="18"/>
        <v>127.71931578947368</v>
      </c>
      <c r="Q30" s="193">
        <f t="shared" si="19"/>
        <v>42.573105263157899</v>
      </c>
      <c r="R30" s="117">
        <v>428.36099999999999</v>
      </c>
      <c r="S30" s="118">
        <f t="shared" si="20"/>
        <v>380.52800000000002</v>
      </c>
      <c r="T30" s="119">
        <f t="shared" si="34"/>
        <v>188.83348390726513</v>
      </c>
    </row>
    <row r="31" spans="1:20" s="79" customFormat="1" ht="39" x14ac:dyDescent="0.25">
      <c r="A31" s="75">
        <f t="shared" ref="A31:A39" si="35">A30+1</f>
        <v>7</v>
      </c>
      <c r="B31" s="84" t="s">
        <v>70</v>
      </c>
      <c r="C31" s="76" t="s">
        <v>69</v>
      </c>
      <c r="D31" s="116">
        <v>20000</v>
      </c>
      <c r="E31" s="116">
        <v>20000</v>
      </c>
      <c r="F31" s="117">
        <f t="shared" si="11"/>
        <v>2749.5829999999996</v>
      </c>
      <c r="G31" s="116">
        <v>0</v>
      </c>
      <c r="H31" s="116">
        <v>750.99099999999999</v>
      </c>
      <c r="I31" s="220">
        <v>1015.678</v>
      </c>
      <c r="J31" s="116">
        <v>982.91399999999999</v>
      </c>
      <c r="K31" s="116">
        <v>2600</v>
      </c>
      <c r="L31" s="116">
        <f t="shared" si="14"/>
        <v>149.58299999999963</v>
      </c>
      <c r="M31" s="193">
        <f t="shared" si="15"/>
        <v>105.75319230769229</v>
      </c>
      <c r="N31" s="116">
        <f t="shared" si="16"/>
        <v>6666.666666666667</v>
      </c>
      <c r="O31" s="116">
        <f t="shared" si="17"/>
        <v>-3917.0836666666673</v>
      </c>
      <c r="P31" s="193">
        <f t="shared" si="18"/>
        <v>41.24374499999999</v>
      </c>
      <c r="Q31" s="193">
        <f t="shared" si="19"/>
        <v>13.747914999999999</v>
      </c>
      <c r="R31" s="117">
        <v>30343.200000000001</v>
      </c>
      <c r="S31" s="118">
        <f t="shared" si="20"/>
        <v>-27593.617000000002</v>
      </c>
      <c r="T31" s="119">
        <f t="shared" si="34"/>
        <v>9.0616118273616486</v>
      </c>
    </row>
    <row r="32" spans="1:20" s="79" customFormat="1" ht="23.25" x14ac:dyDescent="0.25">
      <c r="A32" s="75">
        <f t="shared" si="35"/>
        <v>8</v>
      </c>
      <c r="B32" s="84" t="s">
        <v>8</v>
      </c>
      <c r="C32" s="76" t="s">
        <v>18</v>
      </c>
      <c r="D32" s="116">
        <v>500</v>
      </c>
      <c r="E32" s="116">
        <v>500</v>
      </c>
      <c r="F32" s="117">
        <f t="shared" si="11"/>
        <v>91.486000000000004</v>
      </c>
      <c r="G32" s="116">
        <v>0</v>
      </c>
      <c r="H32" s="116">
        <v>91.486000000000004</v>
      </c>
      <c r="I32" s="220">
        <v>0</v>
      </c>
      <c r="J32" s="116">
        <v>0</v>
      </c>
      <c r="K32" s="116">
        <v>91</v>
      </c>
      <c r="L32" s="116">
        <f t="shared" si="14"/>
        <v>0.48600000000000421</v>
      </c>
      <c r="M32" s="193">
        <f t="shared" si="15"/>
        <v>100.53406593406594</v>
      </c>
      <c r="N32" s="116">
        <f t="shared" si="16"/>
        <v>166.66666666666666</v>
      </c>
      <c r="O32" s="116">
        <f t="shared" si="17"/>
        <v>-75.180666666666653</v>
      </c>
      <c r="P32" s="193">
        <f t="shared" si="18"/>
        <v>54.891600000000004</v>
      </c>
      <c r="Q32" s="193">
        <f t="shared" si="19"/>
        <v>18.2972</v>
      </c>
      <c r="R32" s="117">
        <v>845.92</v>
      </c>
      <c r="S32" s="118">
        <f t="shared" si="20"/>
        <v>-754.43399999999997</v>
      </c>
      <c r="T32" s="119">
        <f t="shared" ref="T32:T37" si="36">F32/R32*100</f>
        <v>10.814970682806885</v>
      </c>
    </row>
    <row r="33" spans="1:20" s="79" customFormat="1" ht="78" x14ac:dyDescent="0.25">
      <c r="A33" s="75">
        <f t="shared" si="35"/>
        <v>9</v>
      </c>
      <c r="B33" s="181" t="s">
        <v>88</v>
      </c>
      <c r="C33" s="100" t="s">
        <v>89</v>
      </c>
      <c r="D33" s="116">
        <v>5</v>
      </c>
      <c r="E33" s="116">
        <f>5+3</f>
        <v>8</v>
      </c>
      <c r="F33" s="117">
        <f t="shared" si="11"/>
        <v>11.023</v>
      </c>
      <c r="G33" s="116">
        <v>0</v>
      </c>
      <c r="H33" s="116">
        <v>0.30599999999999999</v>
      </c>
      <c r="I33" s="220">
        <v>7.51</v>
      </c>
      <c r="J33" s="116">
        <v>3.2069999999999999</v>
      </c>
      <c r="K33" s="116">
        <v>8</v>
      </c>
      <c r="L33" s="116">
        <f t="shared" si="14"/>
        <v>3.0229999999999997</v>
      </c>
      <c r="M33" s="193">
        <f t="shared" si="15"/>
        <v>137.78749999999999</v>
      </c>
      <c r="N33" s="116">
        <f t="shared" si="16"/>
        <v>2.6666666666666665</v>
      </c>
      <c r="O33" s="116">
        <f t="shared" si="17"/>
        <v>8.3563333333333336</v>
      </c>
      <c r="P33" s="193">
        <f t="shared" si="18"/>
        <v>413.36250000000001</v>
      </c>
      <c r="Q33" s="193">
        <f t="shared" si="19"/>
        <v>137.78749999999999</v>
      </c>
      <c r="R33" s="117">
        <v>-11.775</v>
      </c>
      <c r="S33" s="118">
        <f t="shared" si="20"/>
        <v>22.798000000000002</v>
      </c>
      <c r="T33" s="119">
        <f t="shared" si="36"/>
        <v>-93.613588110403384</v>
      </c>
    </row>
    <row r="34" spans="1:20" s="79" customFormat="1" ht="23.25" x14ac:dyDescent="0.25">
      <c r="A34" s="75">
        <f t="shared" si="35"/>
        <v>10</v>
      </c>
      <c r="B34" s="131" t="s">
        <v>30</v>
      </c>
      <c r="C34" s="76" t="s">
        <v>24</v>
      </c>
      <c r="D34" s="116">
        <v>16000</v>
      </c>
      <c r="E34" s="116">
        <v>16000</v>
      </c>
      <c r="F34" s="117">
        <f t="shared" si="11"/>
        <v>5112.7719999999999</v>
      </c>
      <c r="G34" s="116">
        <v>1249.509</v>
      </c>
      <c r="H34" s="116">
        <v>1180.684</v>
      </c>
      <c r="I34" s="220">
        <v>1380.37</v>
      </c>
      <c r="J34" s="116">
        <v>1302.2090000000001</v>
      </c>
      <c r="K34" s="116">
        <v>5020</v>
      </c>
      <c r="L34" s="116">
        <f t="shared" si="14"/>
        <v>92.771999999999935</v>
      </c>
      <c r="M34" s="193">
        <f t="shared" si="15"/>
        <v>101.84804780876493</v>
      </c>
      <c r="N34" s="116">
        <f t="shared" si="16"/>
        <v>5333.333333333333</v>
      </c>
      <c r="O34" s="116">
        <f t="shared" si="17"/>
        <v>-220.5613333333331</v>
      </c>
      <c r="P34" s="193">
        <f t="shared" si="18"/>
        <v>95.864474999999999</v>
      </c>
      <c r="Q34" s="193">
        <f t="shared" si="19"/>
        <v>31.954825</v>
      </c>
      <c r="R34" s="117">
        <v>3979.7570000000005</v>
      </c>
      <c r="S34" s="118">
        <f t="shared" si="20"/>
        <v>1133.0149999999994</v>
      </c>
      <c r="T34" s="119">
        <f t="shared" si="36"/>
        <v>128.46945177808593</v>
      </c>
    </row>
    <row r="35" spans="1:20" s="79" customFormat="1" ht="58.5" x14ac:dyDescent="0.25">
      <c r="A35" s="75">
        <f t="shared" si="35"/>
        <v>11</v>
      </c>
      <c r="B35" s="131" t="s">
        <v>81</v>
      </c>
      <c r="C35" s="76" t="s">
        <v>80</v>
      </c>
      <c r="D35" s="116">
        <v>760</v>
      </c>
      <c r="E35" s="116">
        <v>760</v>
      </c>
      <c r="F35" s="117">
        <f t="shared" si="11"/>
        <v>404.2</v>
      </c>
      <c r="G35" s="116">
        <v>6.8</v>
      </c>
      <c r="H35" s="116">
        <v>119</v>
      </c>
      <c r="I35" s="220">
        <v>106.8</v>
      </c>
      <c r="J35" s="116">
        <v>171.6</v>
      </c>
      <c r="K35" s="116">
        <v>400</v>
      </c>
      <c r="L35" s="116">
        <f t="shared" si="14"/>
        <v>4.1999999999999886</v>
      </c>
      <c r="M35" s="193">
        <f t="shared" si="15"/>
        <v>101.05</v>
      </c>
      <c r="N35" s="116">
        <f t="shared" si="16"/>
        <v>253.33333333333334</v>
      </c>
      <c r="O35" s="116">
        <f t="shared" si="17"/>
        <v>150.86666666666665</v>
      </c>
      <c r="P35" s="193">
        <f t="shared" si="18"/>
        <v>159.55263157894737</v>
      </c>
      <c r="Q35" s="193">
        <f t="shared" si="19"/>
        <v>53.184210526315788</v>
      </c>
      <c r="R35" s="117">
        <v>198.04500000000002</v>
      </c>
      <c r="S35" s="118">
        <f t="shared" si="20"/>
        <v>206.15499999999997</v>
      </c>
      <c r="T35" s="119">
        <f t="shared" si="36"/>
        <v>204.0950289075715</v>
      </c>
    </row>
    <row r="36" spans="1:20" s="79" customFormat="1" ht="58.5" x14ac:dyDescent="0.25">
      <c r="A36" s="75">
        <f t="shared" si="35"/>
        <v>12</v>
      </c>
      <c r="B36" s="131" t="s">
        <v>203</v>
      </c>
      <c r="C36" s="76" t="s">
        <v>108</v>
      </c>
      <c r="D36" s="116">
        <v>21300</v>
      </c>
      <c r="E36" s="116">
        <v>21300</v>
      </c>
      <c r="F36" s="117">
        <f t="shared" si="11"/>
        <v>7533.4530000000004</v>
      </c>
      <c r="G36" s="116">
        <v>1536.7550000000001</v>
      </c>
      <c r="H36" s="116">
        <v>2469.8440000000001</v>
      </c>
      <c r="I36" s="220">
        <v>1780.732</v>
      </c>
      <c r="J36" s="116">
        <v>1746.1220000000001</v>
      </c>
      <c r="K36" s="116">
        <v>7325</v>
      </c>
      <c r="L36" s="116">
        <f t="shared" si="14"/>
        <v>208.45300000000043</v>
      </c>
      <c r="M36" s="193">
        <f t="shared" si="15"/>
        <v>102.84577474402732</v>
      </c>
      <c r="N36" s="116">
        <f t="shared" si="16"/>
        <v>7100</v>
      </c>
      <c r="O36" s="116">
        <f t="shared" si="17"/>
        <v>433.45300000000043</v>
      </c>
      <c r="P36" s="193">
        <f t="shared" si="18"/>
        <v>106.10497183098593</v>
      </c>
      <c r="Q36" s="193">
        <f t="shared" si="19"/>
        <v>35.36832394366197</v>
      </c>
      <c r="R36" s="117">
        <v>6804.143</v>
      </c>
      <c r="S36" s="118">
        <f t="shared" si="20"/>
        <v>729.3100000000004</v>
      </c>
      <c r="T36" s="119">
        <f t="shared" si="36"/>
        <v>110.71861658404299</v>
      </c>
    </row>
    <row r="37" spans="1:20" s="79" customFormat="1" ht="58.5" x14ac:dyDescent="0.25">
      <c r="A37" s="75">
        <f>A36+1</f>
        <v>13</v>
      </c>
      <c r="B37" s="131" t="s">
        <v>144</v>
      </c>
      <c r="C37" s="76" t="s">
        <v>143</v>
      </c>
      <c r="D37" s="116">
        <v>3800</v>
      </c>
      <c r="E37" s="116">
        <v>3800</v>
      </c>
      <c r="F37" s="117">
        <f t="shared" si="11"/>
        <v>421.53300000000002</v>
      </c>
      <c r="G37" s="116">
        <v>143.596</v>
      </c>
      <c r="H37" s="116">
        <v>99.881</v>
      </c>
      <c r="I37" s="220">
        <v>91.864999999999995</v>
      </c>
      <c r="J37" s="116">
        <v>86.191000000000003</v>
      </c>
      <c r="K37" s="116">
        <v>415</v>
      </c>
      <c r="L37" s="116">
        <f t="shared" si="14"/>
        <v>6.5330000000000155</v>
      </c>
      <c r="M37" s="193">
        <f t="shared" si="15"/>
        <v>101.57421686746989</v>
      </c>
      <c r="N37" s="116">
        <f t="shared" si="16"/>
        <v>1266.6666666666667</v>
      </c>
      <c r="O37" s="116">
        <f t="shared" si="17"/>
        <v>-845.13366666666673</v>
      </c>
      <c r="P37" s="193">
        <f t="shared" si="18"/>
        <v>33.278921052631574</v>
      </c>
      <c r="Q37" s="193">
        <f t="shared" si="19"/>
        <v>11.092973684210525</v>
      </c>
      <c r="R37" s="117">
        <v>1423.4589999999998</v>
      </c>
      <c r="S37" s="118">
        <f t="shared" si="20"/>
        <v>-1001.9259999999998</v>
      </c>
      <c r="T37" s="119">
        <f t="shared" si="36"/>
        <v>29.613287070438986</v>
      </c>
    </row>
    <row r="38" spans="1:20" s="79" customFormat="1" ht="78" x14ac:dyDescent="0.25">
      <c r="A38" s="75">
        <f t="shared" si="35"/>
        <v>14</v>
      </c>
      <c r="B38" s="131" t="s">
        <v>129</v>
      </c>
      <c r="C38" s="76" t="s">
        <v>130</v>
      </c>
      <c r="D38" s="116">
        <v>50</v>
      </c>
      <c r="E38" s="116">
        <v>50</v>
      </c>
      <c r="F38" s="117">
        <f t="shared" si="11"/>
        <v>25.936</v>
      </c>
      <c r="G38" s="116">
        <v>3.55</v>
      </c>
      <c r="H38" s="116">
        <v>2.84</v>
      </c>
      <c r="I38" s="220">
        <v>6.39</v>
      </c>
      <c r="J38" s="116">
        <v>13.156000000000001</v>
      </c>
      <c r="K38" s="116">
        <v>25.7</v>
      </c>
      <c r="L38" s="116">
        <f t="shared" si="14"/>
        <v>0.23600000000000065</v>
      </c>
      <c r="M38" s="193">
        <f t="shared" si="15"/>
        <v>100.9182879377432</v>
      </c>
      <c r="N38" s="116">
        <f t="shared" si="16"/>
        <v>16.666666666666668</v>
      </c>
      <c r="O38" s="116">
        <f t="shared" si="17"/>
        <v>9.2693333333333321</v>
      </c>
      <c r="P38" s="193">
        <f t="shared" si="18"/>
        <v>155.61599999999999</v>
      </c>
      <c r="Q38" s="193">
        <f t="shared" si="19"/>
        <v>51.871999999999993</v>
      </c>
      <c r="R38" s="117">
        <v>12.04</v>
      </c>
      <c r="S38" s="118">
        <f t="shared" si="20"/>
        <v>13.896000000000001</v>
      </c>
      <c r="T38" s="119">
        <f t="shared" ref="T38:T46" si="37">F38/R38*100</f>
        <v>215.4152823920266</v>
      </c>
    </row>
    <row r="39" spans="1:20" s="79" customFormat="1" ht="23.25" x14ac:dyDescent="0.25">
      <c r="A39" s="75">
        <f t="shared" si="35"/>
        <v>15</v>
      </c>
      <c r="B39" s="131" t="s">
        <v>83</v>
      </c>
      <c r="C39" s="76" t="s">
        <v>82</v>
      </c>
      <c r="D39" s="116">
        <f>SUM(D40:D43)</f>
        <v>40666</v>
      </c>
      <c r="E39" s="116">
        <f>SUM(E40:E43)</f>
        <v>40666</v>
      </c>
      <c r="F39" s="117">
        <f t="shared" si="11"/>
        <v>17149.736000000001</v>
      </c>
      <c r="G39" s="116">
        <f t="shared" ref="G39:K39" si="38">SUM(G40:G43)</f>
        <v>1954.4269999999999</v>
      </c>
      <c r="H39" s="116">
        <f t="shared" ref="H39:I39" si="39">SUM(H40:H43)</f>
        <v>5701.3399999999992</v>
      </c>
      <c r="I39" s="220">
        <f t="shared" si="39"/>
        <v>4601.5159999999996</v>
      </c>
      <c r="J39" s="116">
        <f t="shared" si="38"/>
        <v>4892.4530000000004</v>
      </c>
      <c r="K39" s="116">
        <f t="shared" si="38"/>
        <v>16678.400000000001</v>
      </c>
      <c r="L39" s="116">
        <f t="shared" si="14"/>
        <v>471.33599999999933</v>
      </c>
      <c r="M39" s="193">
        <f t="shared" si="15"/>
        <v>102.82602647735995</v>
      </c>
      <c r="N39" s="116">
        <f t="shared" si="16"/>
        <v>13555.333333333334</v>
      </c>
      <c r="O39" s="116">
        <f t="shared" si="17"/>
        <v>3594.4026666666668</v>
      </c>
      <c r="P39" s="193">
        <f t="shared" si="18"/>
        <v>126.51651994294988</v>
      </c>
      <c r="Q39" s="193">
        <f t="shared" si="19"/>
        <v>42.17217331431663</v>
      </c>
      <c r="R39" s="117">
        <f t="shared" ref="R39" si="40">SUM(R40:R43)</f>
        <v>11951.385999999997</v>
      </c>
      <c r="S39" s="118">
        <f t="shared" si="20"/>
        <v>5198.350000000004</v>
      </c>
      <c r="T39" s="119">
        <f t="shared" si="37"/>
        <v>143.49579203617057</v>
      </c>
    </row>
    <row r="40" spans="1:20" s="83" customFormat="1" ht="58.5" x14ac:dyDescent="0.25">
      <c r="A40" s="80" t="s">
        <v>198</v>
      </c>
      <c r="B40" s="132" t="s">
        <v>75</v>
      </c>
      <c r="C40" s="189" t="s">
        <v>74</v>
      </c>
      <c r="D40" s="120">
        <v>1700</v>
      </c>
      <c r="E40" s="120">
        <v>1700</v>
      </c>
      <c r="F40" s="222">
        <f t="shared" si="11"/>
        <v>486.68799999999999</v>
      </c>
      <c r="G40" s="120">
        <v>93.847999999999999</v>
      </c>
      <c r="H40" s="216">
        <v>135.93199999999999</v>
      </c>
      <c r="I40" s="221">
        <v>113.69199999999999</v>
      </c>
      <c r="J40" s="120">
        <v>143.21600000000001</v>
      </c>
      <c r="K40" s="120">
        <v>475</v>
      </c>
      <c r="L40" s="120">
        <f t="shared" si="14"/>
        <v>11.687999999999988</v>
      </c>
      <c r="M40" s="194">
        <f t="shared" si="15"/>
        <v>102.46063157894736</v>
      </c>
      <c r="N40" s="120">
        <f t="shared" si="16"/>
        <v>566.66666666666663</v>
      </c>
      <c r="O40" s="120">
        <f t="shared" si="17"/>
        <v>-79.978666666666641</v>
      </c>
      <c r="P40" s="194">
        <f t="shared" si="18"/>
        <v>85.886117647058825</v>
      </c>
      <c r="Q40" s="194">
        <f t="shared" si="19"/>
        <v>28.628705882352939</v>
      </c>
      <c r="R40" s="121">
        <v>417.07000000000005</v>
      </c>
      <c r="S40" s="122">
        <f t="shared" si="20"/>
        <v>69.617999999999938</v>
      </c>
      <c r="T40" s="123">
        <f t="shared" si="37"/>
        <v>116.69216198719639</v>
      </c>
    </row>
    <row r="41" spans="1:20" s="83" customFormat="1" ht="23.25" x14ac:dyDescent="0.25">
      <c r="A41" s="80" t="s">
        <v>199</v>
      </c>
      <c r="B41" s="133" t="s">
        <v>59</v>
      </c>
      <c r="C41" s="67" t="s">
        <v>60</v>
      </c>
      <c r="D41" s="120">
        <v>38000</v>
      </c>
      <c r="E41" s="120">
        <v>38000</v>
      </c>
      <c r="F41" s="222">
        <f t="shared" si="11"/>
        <v>16240.578</v>
      </c>
      <c r="G41" s="120">
        <v>1766.579</v>
      </c>
      <c r="H41" s="216">
        <v>5454.4579999999996</v>
      </c>
      <c r="I41" s="221">
        <v>4360.1940000000004</v>
      </c>
      <c r="J41" s="120">
        <v>4659.3469999999998</v>
      </c>
      <c r="K41" s="120">
        <v>15785</v>
      </c>
      <c r="L41" s="120">
        <f t="shared" si="14"/>
        <v>455.57799999999952</v>
      </c>
      <c r="M41" s="194">
        <f t="shared" si="15"/>
        <v>102.88614507443776</v>
      </c>
      <c r="N41" s="120">
        <f t="shared" si="16"/>
        <v>12666.666666666666</v>
      </c>
      <c r="O41" s="120">
        <f t="shared" si="17"/>
        <v>3573.9113333333335</v>
      </c>
      <c r="P41" s="194">
        <f t="shared" si="18"/>
        <v>128.2150894736842</v>
      </c>
      <c r="Q41" s="194">
        <f t="shared" si="19"/>
        <v>42.738363157894739</v>
      </c>
      <c r="R41" s="121">
        <v>11259.571999999998</v>
      </c>
      <c r="S41" s="122">
        <f t="shared" si="20"/>
        <v>4981.0060000000012</v>
      </c>
      <c r="T41" s="123">
        <f t="shared" si="37"/>
        <v>144.23796925851181</v>
      </c>
    </row>
    <row r="42" spans="1:20" s="83" customFormat="1" ht="39" x14ac:dyDescent="0.25">
      <c r="A42" s="80" t="s">
        <v>200</v>
      </c>
      <c r="B42" s="133" t="s">
        <v>79</v>
      </c>
      <c r="C42" s="67" t="s">
        <v>76</v>
      </c>
      <c r="D42" s="120">
        <v>850</v>
      </c>
      <c r="E42" s="120">
        <v>850</v>
      </c>
      <c r="F42" s="222">
        <f t="shared" si="11"/>
        <v>376.03999999999996</v>
      </c>
      <c r="G42" s="120">
        <v>90.97</v>
      </c>
      <c r="H42" s="216">
        <v>92.99</v>
      </c>
      <c r="I42" s="221">
        <v>106.73</v>
      </c>
      <c r="J42" s="120">
        <v>85.35</v>
      </c>
      <c r="K42" s="120">
        <v>372</v>
      </c>
      <c r="L42" s="120">
        <f t="shared" si="14"/>
        <v>4.0399999999999636</v>
      </c>
      <c r="M42" s="194">
        <f t="shared" si="15"/>
        <v>101.08602150537634</v>
      </c>
      <c r="N42" s="120">
        <f t="shared" si="16"/>
        <v>283.33333333333331</v>
      </c>
      <c r="O42" s="120">
        <f t="shared" si="17"/>
        <v>92.706666666666649</v>
      </c>
      <c r="P42" s="194">
        <f t="shared" si="18"/>
        <v>132.72</v>
      </c>
      <c r="Q42" s="194">
        <f t="shared" si="19"/>
        <v>44.239999999999995</v>
      </c>
      <c r="R42" s="121">
        <v>236.614</v>
      </c>
      <c r="S42" s="122">
        <f t="shared" ref="S42:S69" si="41">F42-R42</f>
        <v>139.42599999999996</v>
      </c>
      <c r="T42" s="123">
        <f t="shared" si="37"/>
        <v>158.92550736642801</v>
      </c>
    </row>
    <row r="43" spans="1:20" s="83" customFormat="1" ht="117" x14ac:dyDescent="0.25">
      <c r="A43" s="80" t="s">
        <v>201</v>
      </c>
      <c r="B43" s="134" t="s">
        <v>78</v>
      </c>
      <c r="C43" s="67" t="s">
        <v>77</v>
      </c>
      <c r="D43" s="120">
        <v>116</v>
      </c>
      <c r="E43" s="120">
        <v>116</v>
      </c>
      <c r="F43" s="222">
        <f t="shared" si="11"/>
        <v>46.43</v>
      </c>
      <c r="G43" s="120">
        <v>3.03</v>
      </c>
      <c r="H43" s="216">
        <v>17.96</v>
      </c>
      <c r="I43" s="221">
        <v>20.9</v>
      </c>
      <c r="J43" s="120">
        <v>4.54</v>
      </c>
      <c r="K43" s="120">
        <v>46.4</v>
      </c>
      <c r="L43" s="120">
        <f t="shared" si="14"/>
        <v>3.0000000000001137E-2</v>
      </c>
      <c r="M43" s="194">
        <f t="shared" si="15"/>
        <v>100.06465517241378</v>
      </c>
      <c r="N43" s="120">
        <f t="shared" si="16"/>
        <v>38.666666666666664</v>
      </c>
      <c r="O43" s="120">
        <f t="shared" si="17"/>
        <v>7.7633333333333354</v>
      </c>
      <c r="P43" s="194">
        <f t="shared" si="18"/>
        <v>120.07758620689657</v>
      </c>
      <c r="Q43" s="194">
        <f t="shared" si="19"/>
        <v>40.025862068965516</v>
      </c>
      <c r="R43" s="121">
        <v>38.130000000000003</v>
      </c>
      <c r="S43" s="122">
        <f t="shared" si="41"/>
        <v>8.2999999999999972</v>
      </c>
      <c r="T43" s="123">
        <f t="shared" si="37"/>
        <v>121.76763703120901</v>
      </c>
    </row>
    <row r="44" spans="1:20" s="79" customFormat="1" ht="58.5" x14ac:dyDescent="0.25">
      <c r="A44" s="75">
        <v>16</v>
      </c>
      <c r="B44" s="181" t="s">
        <v>35</v>
      </c>
      <c r="C44" s="76" t="s">
        <v>19</v>
      </c>
      <c r="D44" s="116">
        <v>12000</v>
      </c>
      <c r="E44" s="116">
        <v>12000</v>
      </c>
      <c r="F44" s="117">
        <f t="shared" si="11"/>
        <v>3785.7799999999997</v>
      </c>
      <c r="G44" s="116">
        <v>1306.3779999999999</v>
      </c>
      <c r="H44" s="116">
        <v>690.69100000000003</v>
      </c>
      <c r="I44" s="220">
        <v>857.34799999999996</v>
      </c>
      <c r="J44" s="116">
        <v>931.36300000000006</v>
      </c>
      <c r="K44" s="116">
        <v>3772</v>
      </c>
      <c r="L44" s="116">
        <f t="shared" si="14"/>
        <v>13.779999999999745</v>
      </c>
      <c r="M44" s="193">
        <f t="shared" si="15"/>
        <v>100.36532343584305</v>
      </c>
      <c r="N44" s="116">
        <f t="shared" si="16"/>
        <v>4000</v>
      </c>
      <c r="O44" s="116">
        <f t="shared" si="17"/>
        <v>-214.22000000000025</v>
      </c>
      <c r="P44" s="193">
        <f t="shared" si="18"/>
        <v>94.644499999999994</v>
      </c>
      <c r="Q44" s="193">
        <f t="shared" si="19"/>
        <v>31.548166666666667</v>
      </c>
      <c r="R44" s="117">
        <v>7008.1460000000006</v>
      </c>
      <c r="S44" s="118">
        <f t="shared" si="41"/>
        <v>-3222.3660000000009</v>
      </c>
      <c r="T44" s="119">
        <f t="shared" si="37"/>
        <v>54.0197079227516</v>
      </c>
    </row>
    <row r="45" spans="1:20" s="79" customFormat="1" ht="23.25" x14ac:dyDescent="0.25">
      <c r="A45" s="75">
        <f t="shared" ref="A45:A51" si="42">A44+1</f>
        <v>17</v>
      </c>
      <c r="B45" s="84" t="s">
        <v>54</v>
      </c>
      <c r="C45" s="76" t="s">
        <v>15</v>
      </c>
      <c r="D45" s="116">
        <v>590.10500000000002</v>
      </c>
      <c r="E45" s="116">
        <v>590.10500000000002</v>
      </c>
      <c r="F45" s="117">
        <f t="shared" si="11"/>
        <v>409.149</v>
      </c>
      <c r="G45" s="116">
        <v>41.896999999999998</v>
      </c>
      <c r="H45" s="116">
        <v>55.649000000000001</v>
      </c>
      <c r="I45" s="220">
        <v>129.727</v>
      </c>
      <c r="J45" s="116">
        <v>181.876</v>
      </c>
      <c r="K45" s="116">
        <v>403.161</v>
      </c>
      <c r="L45" s="116">
        <f t="shared" si="14"/>
        <v>5.9879999999999995</v>
      </c>
      <c r="M45" s="193">
        <f t="shared" si="15"/>
        <v>101.48526271142298</v>
      </c>
      <c r="N45" s="116">
        <f t="shared" si="16"/>
        <v>196.70166666666668</v>
      </c>
      <c r="O45" s="116">
        <f t="shared" si="17"/>
        <v>212.44733333333332</v>
      </c>
      <c r="P45" s="193">
        <f t="shared" si="18"/>
        <v>208.00484659509749</v>
      </c>
      <c r="Q45" s="193">
        <f t="shared" si="19"/>
        <v>69.334948865032501</v>
      </c>
      <c r="R45" s="117">
        <v>297.06799999999998</v>
      </c>
      <c r="S45" s="118">
        <f t="shared" si="41"/>
        <v>112.08100000000002</v>
      </c>
      <c r="T45" s="119">
        <f t="shared" si="37"/>
        <v>137.72907213163316</v>
      </c>
    </row>
    <row r="46" spans="1:20" s="79" customFormat="1" ht="97.5" x14ac:dyDescent="0.25">
      <c r="A46" s="75">
        <f t="shared" si="42"/>
        <v>18</v>
      </c>
      <c r="B46" s="84" t="s">
        <v>95</v>
      </c>
      <c r="C46" s="76" t="s">
        <v>94</v>
      </c>
      <c r="D46" s="116">
        <v>31</v>
      </c>
      <c r="E46" s="116">
        <v>31</v>
      </c>
      <c r="F46" s="117">
        <f t="shared" si="11"/>
        <v>6.8310000000000004</v>
      </c>
      <c r="G46" s="116">
        <v>0.56399999999999995</v>
      </c>
      <c r="H46" s="116">
        <v>0</v>
      </c>
      <c r="I46" s="220">
        <v>6.2670000000000003</v>
      </c>
      <c r="J46" s="116">
        <v>0</v>
      </c>
      <c r="K46" s="116">
        <v>6.76</v>
      </c>
      <c r="L46" s="116">
        <f t="shared" si="14"/>
        <v>7.1000000000000618E-2</v>
      </c>
      <c r="M46" s="193">
        <f t="shared" si="15"/>
        <v>101.05029585798817</v>
      </c>
      <c r="N46" s="116">
        <f t="shared" si="16"/>
        <v>10.333333333333334</v>
      </c>
      <c r="O46" s="116">
        <f t="shared" si="17"/>
        <v>-3.5023333333333335</v>
      </c>
      <c r="P46" s="193">
        <f t="shared" si="18"/>
        <v>66.106451612903228</v>
      </c>
      <c r="Q46" s="193">
        <f t="shared" si="19"/>
        <v>22.035483870967742</v>
      </c>
      <c r="R46" s="117">
        <v>7.2810000000000006</v>
      </c>
      <c r="S46" s="118">
        <f t="shared" si="41"/>
        <v>-0.45000000000000018</v>
      </c>
      <c r="T46" s="119">
        <f t="shared" si="37"/>
        <v>93.819530284301607</v>
      </c>
    </row>
    <row r="47" spans="1:20" s="79" customFormat="1" ht="23.25" x14ac:dyDescent="0.25">
      <c r="A47" s="75">
        <f t="shared" si="42"/>
        <v>19</v>
      </c>
      <c r="B47" s="104" t="s">
        <v>61</v>
      </c>
      <c r="C47" s="32" t="s">
        <v>62</v>
      </c>
      <c r="D47" s="116">
        <v>500</v>
      </c>
      <c r="E47" s="116">
        <v>500</v>
      </c>
      <c r="F47" s="117">
        <f t="shared" si="11"/>
        <v>0</v>
      </c>
      <c r="G47" s="116">
        <v>0</v>
      </c>
      <c r="H47" s="116">
        <v>0</v>
      </c>
      <c r="I47" s="220">
        <v>0</v>
      </c>
      <c r="J47" s="116">
        <v>0</v>
      </c>
      <c r="K47" s="116">
        <v>0</v>
      </c>
      <c r="L47" s="116">
        <f t="shared" si="14"/>
        <v>0</v>
      </c>
      <c r="M47" s="193"/>
      <c r="N47" s="116">
        <f t="shared" si="16"/>
        <v>166.66666666666666</v>
      </c>
      <c r="O47" s="116">
        <f t="shared" si="17"/>
        <v>-166.66666666666666</v>
      </c>
      <c r="P47" s="193">
        <f t="shared" si="18"/>
        <v>0</v>
      </c>
      <c r="Q47" s="193">
        <f t="shared" si="19"/>
        <v>0</v>
      </c>
      <c r="R47" s="117">
        <v>2.3719999999999999</v>
      </c>
      <c r="S47" s="118">
        <f t="shared" si="41"/>
        <v>-2.3719999999999999</v>
      </c>
      <c r="T47" s="119"/>
    </row>
    <row r="48" spans="1:20" s="79" customFormat="1" ht="23.25" x14ac:dyDescent="0.25">
      <c r="A48" s="75">
        <f t="shared" si="42"/>
        <v>20</v>
      </c>
      <c r="B48" s="84" t="s">
        <v>8</v>
      </c>
      <c r="C48" s="76" t="s">
        <v>20</v>
      </c>
      <c r="D48" s="116">
        <v>1700</v>
      </c>
      <c r="E48" s="116">
        <f>1700+2100</f>
        <v>3800</v>
      </c>
      <c r="F48" s="117">
        <f t="shared" si="11"/>
        <v>3216.1769999999997</v>
      </c>
      <c r="G48" s="116">
        <v>1390.5519999999999</v>
      </c>
      <c r="H48" s="116">
        <v>786.19500000000005</v>
      </c>
      <c r="I48" s="220">
        <v>844.37199999999996</v>
      </c>
      <c r="J48" s="116">
        <v>195.05799999999999</v>
      </c>
      <c r="K48" s="116">
        <v>3108.8</v>
      </c>
      <c r="L48" s="116">
        <f t="shared" si="14"/>
        <v>107.3769999999995</v>
      </c>
      <c r="M48" s="193">
        <f t="shared" si="15"/>
        <v>103.45396937725167</v>
      </c>
      <c r="N48" s="116">
        <f t="shared" si="16"/>
        <v>1266.6666666666667</v>
      </c>
      <c r="O48" s="116">
        <f t="shared" si="17"/>
        <v>1949.5103333333329</v>
      </c>
      <c r="P48" s="193">
        <f t="shared" si="18"/>
        <v>253.90871052631576</v>
      </c>
      <c r="Q48" s="193">
        <f t="shared" si="19"/>
        <v>84.636236842105248</v>
      </c>
      <c r="R48" s="117">
        <v>1043.0070000000001</v>
      </c>
      <c r="S48" s="118">
        <f t="shared" si="41"/>
        <v>2173.1699999999996</v>
      </c>
      <c r="T48" s="119">
        <f>F48/R48*100</f>
        <v>308.35622387960962</v>
      </c>
    </row>
    <row r="49" spans="1:20" s="79" customFormat="1" ht="156" x14ac:dyDescent="0.25">
      <c r="A49" s="75">
        <f t="shared" si="42"/>
        <v>21</v>
      </c>
      <c r="B49" s="84" t="s">
        <v>53</v>
      </c>
      <c r="C49" s="76" t="s">
        <v>47</v>
      </c>
      <c r="D49" s="116">
        <v>2500</v>
      </c>
      <c r="E49" s="116">
        <v>2500</v>
      </c>
      <c r="F49" s="117">
        <f t="shared" si="11"/>
        <v>1374.6990000000001</v>
      </c>
      <c r="G49" s="116">
        <v>126.11199999999999</v>
      </c>
      <c r="H49" s="116">
        <v>857.42499999999995</v>
      </c>
      <c r="I49" s="220">
        <v>144.45400000000001</v>
      </c>
      <c r="J49" s="116">
        <v>246.708</v>
      </c>
      <c r="K49" s="116">
        <v>1326</v>
      </c>
      <c r="L49" s="116">
        <f t="shared" si="14"/>
        <v>48.699000000000069</v>
      </c>
      <c r="M49" s="193">
        <f t="shared" si="15"/>
        <v>103.67262443438914</v>
      </c>
      <c r="N49" s="116">
        <f t="shared" si="16"/>
        <v>833.33333333333337</v>
      </c>
      <c r="O49" s="116">
        <f t="shared" si="17"/>
        <v>541.3656666666667</v>
      </c>
      <c r="P49" s="193">
        <f t="shared" si="18"/>
        <v>164.96387999999999</v>
      </c>
      <c r="Q49" s="193">
        <f t="shared" si="19"/>
        <v>54.987960000000001</v>
      </c>
      <c r="R49" s="117">
        <v>5820.1390000000001</v>
      </c>
      <c r="S49" s="118">
        <f t="shared" si="41"/>
        <v>-4445.4400000000005</v>
      </c>
      <c r="T49" s="119">
        <f>F49/R49*100</f>
        <v>23.619693619001197</v>
      </c>
    </row>
    <row r="50" spans="1:20" s="79" customFormat="1" ht="78" x14ac:dyDescent="0.25">
      <c r="A50" s="75">
        <f t="shared" si="42"/>
        <v>22</v>
      </c>
      <c r="B50" s="84" t="s">
        <v>121</v>
      </c>
      <c r="C50" s="76" t="s">
        <v>120</v>
      </c>
      <c r="D50" s="116">
        <v>0.25</v>
      </c>
      <c r="E50" s="116">
        <v>0.25</v>
      </c>
      <c r="F50" s="117">
        <f t="shared" si="11"/>
        <v>0</v>
      </c>
      <c r="G50" s="116">
        <v>0</v>
      </c>
      <c r="H50" s="116">
        <v>0</v>
      </c>
      <c r="I50" s="220">
        <v>0</v>
      </c>
      <c r="J50" s="116">
        <v>0</v>
      </c>
      <c r="K50" s="116">
        <v>0</v>
      </c>
      <c r="L50" s="116">
        <f t="shared" si="14"/>
        <v>0</v>
      </c>
      <c r="M50" s="193"/>
      <c r="N50" s="116">
        <f t="shared" si="16"/>
        <v>8.3333333333333329E-2</v>
      </c>
      <c r="O50" s="116">
        <f t="shared" si="17"/>
        <v>-8.3333333333333329E-2</v>
      </c>
      <c r="P50" s="193">
        <f t="shared" si="18"/>
        <v>0</v>
      </c>
      <c r="Q50" s="193">
        <f t="shared" si="19"/>
        <v>0</v>
      </c>
      <c r="R50" s="117">
        <v>0</v>
      </c>
      <c r="S50" s="118">
        <f t="shared" si="41"/>
        <v>0</v>
      </c>
      <c r="T50" s="119"/>
    </row>
    <row r="51" spans="1:20" s="79" customFormat="1" ht="39" x14ac:dyDescent="0.25">
      <c r="A51" s="75">
        <f t="shared" si="42"/>
        <v>23</v>
      </c>
      <c r="B51" s="84" t="s">
        <v>85</v>
      </c>
      <c r="C51" s="76" t="s">
        <v>84</v>
      </c>
      <c r="D51" s="116">
        <v>0.25</v>
      </c>
      <c r="E51" s="116">
        <v>0.25</v>
      </c>
      <c r="F51" s="117">
        <f t="shared" si="11"/>
        <v>0</v>
      </c>
      <c r="G51" s="116">
        <v>0</v>
      </c>
      <c r="H51" s="116">
        <v>0</v>
      </c>
      <c r="I51" s="220">
        <v>0</v>
      </c>
      <c r="J51" s="116">
        <v>0</v>
      </c>
      <c r="K51" s="116">
        <v>0</v>
      </c>
      <c r="L51" s="116">
        <f t="shared" si="14"/>
        <v>0</v>
      </c>
      <c r="M51" s="193"/>
      <c r="N51" s="116">
        <f t="shared" si="16"/>
        <v>8.3333333333333329E-2</v>
      </c>
      <c r="O51" s="116">
        <f t="shared" si="17"/>
        <v>-8.3333333333333329E-2</v>
      </c>
      <c r="P51" s="193">
        <f t="shared" si="18"/>
        <v>0</v>
      </c>
      <c r="Q51" s="193">
        <f t="shared" si="19"/>
        <v>0</v>
      </c>
      <c r="R51" s="117">
        <v>0</v>
      </c>
      <c r="S51" s="118">
        <f t="shared" si="41"/>
        <v>0</v>
      </c>
      <c r="T51" s="119"/>
    </row>
    <row r="52" spans="1:20" s="89" customFormat="1" ht="31.5" customHeight="1" x14ac:dyDescent="0.3">
      <c r="A52" s="263" t="s">
        <v>165</v>
      </c>
      <c r="B52" s="263"/>
      <c r="C52" s="263"/>
      <c r="D52" s="86">
        <f>D7+D10+D11+D16+D24+D30+D31+D32+D33+D34+D35+D36+D39+D44+D45+D46+D47+D48+D49+D51+D50+D38+D37</f>
        <v>5219750.3770000003</v>
      </c>
      <c r="E52" s="86">
        <f>E7+E10+E11+E16+E24+E30+E31+E32+E33+E34+E35+E36+E39+E44+E45+E46+E47+E48+E49+E51+E50+E38+E37</f>
        <v>5219750.3770000003</v>
      </c>
      <c r="F52" s="86">
        <f t="shared" si="11"/>
        <v>1731117.4470000002</v>
      </c>
      <c r="G52" s="86">
        <f>G7+G10+G11+G16+G24+G30+G31+G32+G33+G34+G35+G36+G39+G44+G45+G46+G47+G48+G49+G51+G50+G38+G37+G23</f>
        <v>426745.84000000014</v>
      </c>
      <c r="H52" s="86">
        <f>H7+H10+H11+H16+H24+H30+H31+H32+H33+H34+H35+H36+H39+H44+H45+H46+H47+H48+H49+H51+H50+H38+H37+H23</f>
        <v>445489.51299999998</v>
      </c>
      <c r="I52" s="86">
        <f>I7+I10+I11+I16+I24+I30+I31+I32+I33+I34+I35+I36+I39+I44+I45+I46+I47+I48+I49+I51+I50+I38+I37+I23</f>
        <v>377705.67400000012</v>
      </c>
      <c r="J52" s="86">
        <f>J7+J10+J11+J16+J24+J30+J31+J32+J33+J34+J35+J36+J39+J44+J45+J46+J47+J48+J49+J51+J50+J38+J37+J23</f>
        <v>481176.41999999987</v>
      </c>
      <c r="K52" s="86">
        <f>K7+K10+K11+K16+K24+K30+K31+K32+K33+K34+K35+K36+K39+K44+K45+K46+K47+K48+K49+K51+K50+K38+K37</f>
        <v>1606445.9890000001</v>
      </c>
      <c r="L52" s="86">
        <f t="shared" si="14"/>
        <v>124671.4580000001</v>
      </c>
      <c r="M52" s="195">
        <f t="shared" si="15"/>
        <v>107.76070025719365</v>
      </c>
      <c r="N52" s="86">
        <f>N7+N10+N11+N16+N24+N30+N31+N32+N33+N34+N35+N36+N39+N44+N45+N46+N47+N48+N49+N51+N50+N38+N37</f>
        <v>1739916.7923333333</v>
      </c>
      <c r="O52" s="86">
        <f t="shared" si="17"/>
        <v>-8799.3453333331272</v>
      </c>
      <c r="P52" s="195">
        <f t="shared" si="18"/>
        <v>99.494266313647529</v>
      </c>
      <c r="Q52" s="195">
        <f t="shared" si="19"/>
        <v>33.164755437882505</v>
      </c>
      <c r="R52" s="86">
        <f>R7+R10+R11+R16+R24+R30+R31+R32+R33+R34+R35+R36+R39+R44+R45+R46+R47+R48+R49+R51+R50+R38+R23+R37</f>
        <v>1696284.4279999996</v>
      </c>
      <c r="S52" s="87">
        <f t="shared" si="41"/>
        <v>34833.019000000553</v>
      </c>
      <c r="T52" s="88">
        <f>F52/R52*100</f>
        <v>102.05348928664459</v>
      </c>
    </row>
    <row r="53" spans="1:20" s="89" customFormat="1" ht="48" customHeight="1" x14ac:dyDescent="0.3">
      <c r="A53" s="263" t="s">
        <v>187</v>
      </c>
      <c r="B53" s="263"/>
      <c r="C53" s="263"/>
      <c r="D53" s="86">
        <f>D52</f>
        <v>5219750.3770000003</v>
      </c>
      <c r="E53" s="86">
        <f>E52</f>
        <v>5219750.3770000003</v>
      </c>
      <c r="F53" s="86">
        <f t="shared" si="11"/>
        <v>1731117.4470000002</v>
      </c>
      <c r="G53" s="86">
        <f>G52</f>
        <v>426745.84000000014</v>
      </c>
      <c r="H53" s="86">
        <f>H52</f>
        <v>445489.51299999998</v>
      </c>
      <c r="I53" s="86">
        <f>I52</f>
        <v>377705.67400000012</v>
      </c>
      <c r="J53" s="86">
        <f>J52</f>
        <v>481176.41999999987</v>
      </c>
      <c r="K53" s="86">
        <f>K52</f>
        <v>1606445.9890000001</v>
      </c>
      <c r="L53" s="86">
        <f t="shared" si="14"/>
        <v>124671.4580000001</v>
      </c>
      <c r="M53" s="195">
        <f t="shared" si="15"/>
        <v>107.76070025719365</v>
      </c>
      <c r="N53" s="86">
        <f>N52</f>
        <v>1739916.7923333333</v>
      </c>
      <c r="O53" s="86">
        <f t="shared" si="17"/>
        <v>-8799.3453333331272</v>
      </c>
      <c r="P53" s="195">
        <f t="shared" si="18"/>
        <v>99.494266313647529</v>
      </c>
      <c r="Q53" s="195">
        <f t="shared" si="19"/>
        <v>33.164755437882505</v>
      </c>
      <c r="R53" s="86">
        <f>R52-R8</f>
        <v>1410064.4099999997</v>
      </c>
      <c r="S53" s="87">
        <f t="shared" si="41"/>
        <v>321053.03700000048</v>
      </c>
      <c r="T53" s="88">
        <f>F53/R53*100</f>
        <v>122.76867884354307</v>
      </c>
    </row>
    <row r="54" spans="1:20" s="9" customFormat="1" ht="97.5" x14ac:dyDescent="0.25">
      <c r="A54" s="23">
        <v>1</v>
      </c>
      <c r="B54" s="59" t="s">
        <v>212</v>
      </c>
      <c r="C54" s="24" t="s">
        <v>213</v>
      </c>
      <c r="D54" s="124">
        <v>0</v>
      </c>
      <c r="E54" s="124">
        <v>0</v>
      </c>
      <c r="F54" s="117">
        <f t="shared" si="11"/>
        <v>0</v>
      </c>
      <c r="G54" s="116">
        <v>0</v>
      </c>
      <c r="H54" s="116">
        <v>0</v>
      </c>
      <c r="I54" s="220">
        <v>0</v>
      </c>
      <c r="J54" s="116">
        <v>0</v>
      </c>
      <c r="K54" s="116">
        <v>0</v>
      </c>
      <c r="L54" s="220">
        <f t="shared" si="14"/>
        <v>0</v>
      </c>
      <c r="M54" s="193"/>
      <c r="N54" s="220">
        <f>K54</f>
        <v>0</v>
      </c>
      <c r="O54" s="220">
        <f t="shared" si="17"/>
        <v>0</v>
      </c>
      <c r="P54" s="193"/>
      <c r="Q54" s="193"/>
      <c r="R54" s="117">
        <v>3665.2</v>
      </c>
      <c r="S54" s="118">
        <f t="shared" ref="S54" si="43">F54-R54</f>
        <v>-3665.2</v>
      </c>
      <c r="T54" s="119">
        <f>F54/R54*100</f>
        <v>0</v>
      </c>
    </row>
    <row r="55" spans="1:20" s="9" customFormat="1" ht="23.25" x14ac:dyDescent="0.25">
      <c r="A55" s="23">
        <f>A54+1</f>
        <v>2</v>
      </c>
      <c r="B55" s="59" t="s">
        <v>150</v>
      </c>
      <c r="C55" s="24" t="s">
        <v>55</v>
      </c>
      <c r="D55" s="124">
        <v>879086.1</v>
      </c>
      <c r="E55" s="124">
        <v>879086.1</v>
      </c>
      <c r="F55" s="117">
        <f t="shared" si="11"/>
        <v>273375.5</v>
      </c>
      <c r="G55" s="116">
        <v>63808.4</v>
      </c>
      <c r="H55" s="116">
        <v>63802.3</v>
      </c>
      <c r="I55" s="220">
        <v>68537.3</v>
      </c>
      <c r="J55" s="116">
        <v>77227.5</v>
      </c>
      <c r="K55" s="116">
        <v>273375.5</v>
      </c>
      <c r="L55" s="116">
        <f t="shared" si="14"/>
        <v>0</v>
      </c>
      <c r="M55" s="193">
        <f t="shared" si="15"/>
        <v>100</v>
      </c>
      <c r="N55" s="116">
        <f>K55</f>
        <v>273375.5</v>
      </c>
      <c r="O55" s="116">
        <f t="shared" si="17"/>
        <v>0</v>
      </c>
      <c r="P55" s="193">
        <f t="shared" si="18"/>
        <v>100</v>
      </c>
      <c r="Q55" s="193">
        <f t="shared" si="19"/>
        <v>31.09769338862257</v>
      </c>
      <c r="R55" s="117">
        <v>232459.40000000002</v>
      </c>
      <c r="S55" s="118">
        <f t="shared" si="41"/>
        <v>40916.099999999977</v>
      </c>
      <c r="T55" s="119">
        <f>F55/R55*100</f>
        <v>117.60139620079893</v>
      </c>
    </row>
    <row r="56" spans="1:20" s="9" customFormat="1" ht="23.25" x14ac:dyDescent="0.25">
      <c r="A56" s="23">
        <f t="shared" ref="A56:A61" si="44">A55+1</f>
        <v>3</v>
      </c>
      <c r="B56" s="59" t="s">
        <v>205</v>
      </c>
      <c r="C56" s="24" t="s">
        <v>204</v>
      </c>
      <c r="D56" s="124"/>
      <c r="E56" s="124">
        <v>2126.0949999999998</v>
      </c>
      <c r="F56" s="117">
        <f t="shared" si="11"/>
        <v>2126.0950000000003</v>
      </c>
      <c r="G56" s="116">
        <v>0</v>
      </c>
      <c r="H56" s="116">
        <v>561.92399999999998</v>
      </c>
      <c r="I56" s="220">
        <v>0</v>
      </c>
      <c r="J56" s="116">
        <v>1564.171</v>
      </c>
      <c r="K56" s="116">
        <v>2126.0949999999998</v>
      </c>
      <c r="L56" s="116">
        <f t="shared" si="14"/>
        <v>0</v>
      </c>
      <c r="M56" s="193">
        <f t="shared" si="15"/>
        <v>100.00000000000003</v>
      </c>
      <c r="N56" s="116">
        <f>K56</f>
        <v>2126.0949999999998</v>
      </c>
      <c r="O56" s="116">
        <f t="shared" ref="O56" si="45">F56-N56</f>
        <v>0</v>
      </c>
      <c r="P56" s="193">
        <f t="shared" ref="P56" si="46">F56/N56*100</f>
        <v>100.00000000000003</v>
      </c>
      <c r="Q56" s="193">
        <f>F56/E56*100</f>
        <v>100.00000000000003</v>
      </c>
      <c r="R56" s="117">
        <v>0</v>
      </c>
      <c r="S56" s="118">
        <f t="shared" si="41"/>
        <v>2126.0950000000003</v>
      </c>
      <c r="T56" s="119"/>
    </row>
    <row r="57" spans="1:20" s="9" customFormat="1" ht="39" x14ac:dyDescent="0.25">
      <c r="A57" s="23">
        <f t="shared" si="44"/>
        <v>4</v>
      </c>
      <c r="B57" s="178" t="s">
        <v>151</v>
      </c>
      <c r="C57" s="143" t="s">
        <v>117</v>
      </c>
      <c r="D57" s="124">
        <v>23435.05</v>
      </c>
      <c r="E57" s="124">
        <v>23435.05</v>
      </c>
      <c r="F57" s="117">
        <f t="shared" si="11"/>
        <v>7287.6799999999994</v>
      </c>
      <c r="G57" s="116">
        <v>1701.0619999999999</v>
      </c>
      <c r="H57" s="116">
        <v>1700.758</v>
      </c>
      <c r="I57" s="220">
        <v>1827.075</v>
      </c>
      <c r="J57" s="116">
        <v>2058.7849999999999</v>
      </c>
      <c r="K57" s="116">
        <v>7287.68</v>
      </c>
      <c r="L57" s="116">
        <f t="shared" si="14"/>
        <v>0</v>
      </c>
      <c r="M57" s="193">
        <f t="shared" si="15"/>
        <v>99.999999999999986</v>
      </c>
      <c r="N57" s="116">
        <f t="shared" ref="N57:N64" si="47">K57</f>
        <v>7287.68</v>
      </c>
      <c r="O57" s="116">
        <f t="shared" si="17"/>
        <v>0</v>
      </c>
      <c r="P57" s="193">
        <f t="shared" si="18"/>
        <v>99.999999999999986</v>
      </c>
      <c r="Q57" s="193">
        <f t="shared" si="19"/>
        <v>31.097352043200249</v>
      </c>
      <c r="R57" s="117">
        <v>5470.0960000000005</v>
      </c>
      <c r="S57" s="118">
        <f t="shared" si="41"/>
        <v>1817.5839999999989</v>
      </c>
      <c r="T57" s="119">
        <f>F57/R57*100</f>
        <v>133.22764353678619</v>
      </c>
    </row>
    <row r="58" spans="1:20" s="9" customFormat="1" ht="58.5" x14ac:dyDescent="0.25">
      <c r="A58" s="23">
        <f t="shared" si="44"/>
        <v>5</v>
      </c>
      <c r="B58" s="178" t="s">
        <v>152</v>
      </c>
      <c r="C58" s="143">
        <v>41051200</v>
      </c>
      <c r="D58" s="124">
        <v>0</v>
      </c>
      <c r="E58" s="124">
        <v>0</v>
      </c>
      <c r="F58" s="117">
        <f t="shared" si="11"/>
        <v>0</v>
      </c>
      <c r="G58" s="116">
        <v>0</v>
      </c>
      <c r="H58" s="220">
        <v>0</v>
      </c>
      <c r="I58" s="220">
        <v>0</v>
      </c>
      <c r="J58" s="220">
        <v>0</v>
      </c>
      <c r="K58" s="116">
        <v>0</v>
      </c>
      <c r="L58" s="116">
        <f t="shared" ref="L58:L60" si="48">F58-K58</f>
        <v>0</v>
      </c>
      <c r="M58" s="193"/>
      <c r="N58" s="116">
        <f t="shared" ref="N58:N60" si="49">K58</f>
        <v>0</v>
      </c>
      <c r="O58" s="116">
        <f t="shared" ref="O58:O60" si="50">F58-N58</f>
        <v>0</v>
      </c>
      <c r="P58" s="193"/>
      <c r="Q58" s="193"/>
      <c r="R58" s="117">
        <v>871.27200000000005</v>
      </c>
      <c r="S58" s="118">
        <f t="shared" si="41"/>
        <v>-871.27200000000005</v>
      </c>
      <c r="T58" s="119">
        <f>F58/R58*100</f>
        <v>0</v>
      </c>
    </row>
    <row r="59" spans="1:20" s="9" customFormat="1" ht="78" x14ac:dyDescent="0.25">
      <c r="A59" s="23">
        <f t="shared" si="44"/>
        <v>6</v>
      </c>
      <c r="B59" s="178" t="s">
        <v>214</v>
      </c>
      <c r="C59" s="143" t="s">
        <v>215</v>
      </c>
      <c r="D59" s="124">
        <v>0</v>
      </c>
      <c r="E59" s="124">
        <v>0</v>
      </c>
      <c r="F59" s="117">
        <f t="shared" si="11"/>
        <v>0</v>
      </c>
      <c r="G59" s="220">
        <v>0</v>
      </c>
      <c r="H59" s="220">
        <v>0</v>
      </c>
      <c r="I59" s="220">
        <v>0</v>
      </c>
      <c r="J59" s="220">
        <v>0</v>
      </c>
      <c r="K59" s="116">
        <v>0</v>
      </c>
      <c r="L59" s="220">
        <f t="shared" si="48"/>
        <v>0</v>
      </c>
      <c r="M59" s="193"/>
      <c r="N59" s="220">
        <f t="shared" si="49"/>
        <v>0</v>
      </c>
      <c r="O59" s="220">
        <f t="shared" si="50"/>
        <v>0</v>
      </c>
      <c r="P59" s="193"/>
      <c r="Q59" s="193"/>
      <c r="R59" s="117">
        <v>2073.1129999999998</v>
      </c>
      <c r="S59" s="118">
        <f t="shared" si="41"/>
        <v>-2073.1129999999998</v>
      </c>
      <c r="T59" s="119"/>
    </row>
    <row r="60" spans="1:20" s="9" customFormat="1" ht="58.5" x14ac:dyDescent="0.25">
      <c r="A60" s="23">
        <f t="shared" si="44"/>
        <v>7</v>
      </c>
      <c r="B60" s="178" t="s">
        <v>230</v>
      </c>
      <c r="C60" s="143">
        <v>41057700</v>
      </c>
      <c r="D60" s="124">
        <v>0</v>
      </c>
      <c r="E60" s="124">
        <v>51.972000000000001</v>
      </c>
      <c r="F60" s="117">
        <f t="shared" si="11"/>
        <v>20.788</v>
      </c>
      <c r="G60" s="220">
        <v>0</v>
      </c>
      <c r="H60" s="220">
        <v>0</v>
      </c>
      <c r="I60" s="220">
        <v>0</v>
      </c>
      <c r="J60" s="220">
        <v>20.788</v>
      </c>
      <c r="K60" s="220">
        <v>20.788</v>
      </c>
      <c r="L60" s="220">
        <f t="shared" si="48"/>
        <v>0</v>
      </c>
      <c r="M60" s="193">
        <f t="shared" ref="M60" si="51">F60/K60*100</f>
        <v>100</v>
      </c>
      <c r="N60" s="220">
        <f t="shared" si="49"/>
        <v>20.788</v>
      </c>
      <c r="O60" s="220">
        <f t="shared" si="50"/>
        <v>0</v>
      </c>
      <c r="P60" s="193">
        <f t="shared" ref="P60" si="52">F60/N60*100</f>
        <v>100</v>
      </c>
      <c r="Q60" s="193">
        <f t="shared" ref="Q60" si="53">F60/E60*100</f>
        <v>39.998460709612864</v>
      </c>
      <c r="R60" s="117">
        <v>0</v>
      </c>
      <c r="S60" s="118">
        <f t="shared" si="41"/>
        <v>20.788</v>
      </c>
      <c r="T60" s="119"/>
    </row>
    <row r="61" spans="1:20" s="9" customFormat="1" ht="23.25" x14ac:dyDescent="0.25">
      <c r="A61" s="23">
        <f t="shared" si="44"/>
        <v>8</v>
      </c>
      <c r="B61" s="179" t="s">
        <v>153</v>
      </c>
      <c r="C61" s="143" t="s">
        <v>109</v>
      </c>
      <c r="D61" s="124">
        <f>SUM(D62:D68)</f>
        <v>1982.317</v>
      </c>
      <c r="E61" s="124">
        <f>SUM(E62:E68)</f>
        <v>2309.16</v>
      </c>
      <c r="F61" s="117">
        <f t="shared" si="11"/>
        <v>751.2349999999999</v>
      </c>
      <c r="G61" s="116">
        <f>SUM(G62:G68)</f>
        <v>0</v>
      </c>
      <c r="H61" s="116">
        <f>SUM(H62:H68)</f>
        <v>129.971</v>
      </c>
      <c r="I61" s="220">
        <f>SUM(I62:I68)</f>
        <v>331.63199999999995</v>
      </c>
      <c r="J61" s="116">
        <f>SUM(J62:J68)</f>
        <v>289.63200000000001</v>
      </c>
      <c r="K61" s="116">
        <f>SUM(K62:K68)</f>
        <v>952.005</v>
      </c>
      <c r="L61" s="116">
        <f t="shared" si="14"/>
        <v>-200.7700000000001</v>
      </c>
      <c r="M61" s="193">
        <f t="shared" si="15"/>
        <v>78.91082504818776</v>
      </c>
      <c r="N61" s="116">
        <f t="shared" si="47"/>
        <v>952.005</v>
      </c>
      <c r="O61" s="116">
        <f t="shared" si="17"/>
        <v>-200.7700000000001</v>
      </c>
      <c r="P61" s="193">
        <f t="shared" si="18"/>
        <v>78.91082504818776</v>
      </c>
      <c r="Q61" s="193">
        <f t="shared" si="19"/>
        <v>32.532825789464567</v>
      </c>
      <c r="R61" s="117">
        <f>SUM(R62:R68)</f>
        <v>1286.1599999999999</v>
      </c>
      <c r="S61" s="118">
        <f t="shared" si="41"/>
        <v>-534.92499999999995</v>
      </c>
      <c r="T61" s="119">
        <f t="shared" ref="T61:T64" si="54">F61/R61*100</f>
        <v>58.409140386888105</v>
      </c>
    </row>
    <row r="62" spans="1:20" s="39" customFormat="1" ht="39" x14ac:dyDescent="0.25">
      <c r="A62" s="38" t="s">
        <v>231</v>
      </c>
      <c r="B62" s="180" t="s">
        <v>154</v>
      </c>
      <c r="C62" s="103"/>
      <c r="D62" s="125">
        <v>105</v>
      </c>
      <c r="E62" s="125">
        <v>105</v>
      </c>
      <c r="F62" s="222">
        <f t="shared" si="11"/>
        <v>3.7240000000000002</v>
      </c>
      <c r="G62" s="120">
        <v>0</v>
      </c>
      <c r="H62" s="216">
        <v>3.7240000000000002</v>
      </c>
      <c r="I62" s="221">
        <v>0</v>
      </c>
      <c r="J62" s="120">
        <v>0</v>
      </c>
      <c r="K62" s="120">
        <v>34.008000000000003</v>
      </c>
      <c r="L62" s="120">
        <f t="shared" si="14"/>
        <v>-30.284000000000002</v>
      </c>
      <c r="M62" s="194">
        <f t="shared" si="15"/>
        <v>10.95036462008939</v>
      </c>
      <c r="N62" s="120">
        <f t="shared" si="47"/>
        <v>34.008000000000003</v>
      </c>
      <c r="O62" s="120">
        <f t="shared" si="17"/>
        <v>-30.284000000000002</v>
      </c>
      <c r="P62" s="194">
        <f t="shared" si="18"/>
        <v>10.95036462008939</v>
      </c>
      <c r="Q62" s="194">
        <f t="shared" si="19"/>
        <v>3.5466666666666669</v>
      </c>
      <c r="R62" s="121">
        <v>13.022</v>
      </c>
      <c r="S62" s="122">
        <f t="shared" si="41"/>
        <v>-9.298</v>
      </c>
      <c r="T62" s="123">
        <f t="shared" si="54"/>
        <v>28.597757640915379</v>
      </c>
    </row>
    <row r="63" spans="1:20" s="39" customFormat="1" ht="39" x14ac:dyDescent="0.25">
      <c r="A63" s="38" t="s">
        <v>232</v>
      </c>
      <c r="B63" s="180" t="s">
        <v>155</v>
      </c>
      <c r="C63" s="103"/>
      <c r="D63" s="125">
        <v>1246.7</v>
      </c>
      <c r="E63" s="125">
        <v>1246.7</v>
      </c>
      <c r="F63" s="222">
        <f t="shared" si="11"/>
        <v>242.029</v>
      </c>
      <c r="G63" s="120">
        <v>0</v>
      </c>
      <c r="H63" s="216">
        <v>58.584000000000003</v>
      </c>
      <c r="I63" s="221">
        <v>65.713999999999999</v>
      </c>
      <c r="J63" s="120">
        <v>117.73099999999999</v>
      </c>
      <c r="K63" s="120">
        <v>242.029</v>
      </c>
      <c r="L63" s="120">
        <f t="shared" si="14"/>
        <v>0</v>
      </c>
      <c r="M63" s="194">
        <f t="shared" si="15"/>
        <v>100</v>
      </c>
      <c r="N63" s="120">
        <f t="shared" si="47"/>
        <v>242.029</v>
      </c>
      <c r="O63" s="120">
        <f t="shared" si="17"/>
        <v>0</v>
      </c>
      <c r="P63" s="194">
        <f t="shared" si="18"/>
        <v>100</v>
      </c>
      <c r="Q63" s="194">
        <f t="shared" si="19"/>
        <v>19.413571829630222</v>
      </c>
      <c r="R63" s="121">
        <v>474.81099999999998</v>
      </c>
      <c r="S63" s="122">
        <f t="shared" si="41"/>
        <v>-232.78199999999998</v>
      </c>
      <c r="T63" s="123">
        <f t="shared" si="54"/>
        <v>50.973755873389628</v>
      </c>
    </row>
    <row r="64" spans="1:20" s="39" customFormat="1" ht="78" x14ac:dyDescent="0.25">
      <c r="A64" s="38" t="s">
        <v>233</v>
      </c>
      <c r="B64" s="180" t="s">
        <v>156</v>
      </c>
      <c r="C64" s="103"/>
      <c r="D64" s="125">
        <v>292.3</v>
      </c>
      <c r="E64" s="125">
        <v>292.3</v>
      </c>
      <c r="F64" s="222">
        <f t="shared" si="11"/>
        <v>146.136</v>
      </c>
      <c r="G64" s="120">
        <v>0</v>
      </c>
      <c r="H64" s="216">
        <v>0</v>
      </c>
      <c r="I64" s="221">
        <v>146.136</v>
      </c>
      <c r="J64" s="120">
        <v>0</v>
      </c>
      <c r="K64" s="120">
        <v>146.136</v>
      </c>
      <c r="L64" s="120">
        <f t="shared" si="14"/>
        <v>0</v>
      </c>
      <c r="M64" s="194">
        <f t="shared" si="15"/>
        <v>100</v>
      </c>
      <c r="N64" s="120">
        <f t="shared" si="47"/>
        <v>146.136</v>
      </c>
      <c r="O64" s="120">
        <f t="shared" si="17"/>
        <v>0</v>
      </c>
      <c r="P64" s="194">
        <f t="shared" si="18"/>
        <v>100</v>
      </c>
      <c r="Q64" s="194">
        <f t="shared" si="19"/>
        <v>49.995210400273685</v>
      </c>
      <c r="R64" s="121">
        <v>146.136</v>
      </c>
      <c r="S64" s="122">
        <f t="shared" si="41"/>
        <v>0</v>
      </c>
      <c r="T64" s="123">
        <f t="shared" si="54"/>
        <v>100</v>
      </c>
    </row>
    <row r="65" spans="1:20" s="218" customFormat="1" ht="58.5" x14ac:dyDescent="0.25">
      <c r="A65" s="217" t="s">
        <v>234</v>
      </c>
      <c r="B65" s="226" t="s">
        <v>229</v>
      </c>
      <c r="C65" s="219"/>
      <c r="D65" s="225">
        <v>0</v>
      </c>
      <c r="E65" s="225">
        <v>0</v>
      </c>
      <c r="F65" s="222">
        <f t="shared" si="11"/>
        <v>0</v>
      </c>
      <c r="G65" s="221">
        <v>0</v>
      </c>
      <c r="H65" s="221">
        <v>0</v>
      </c>
      <c r="I65" s="221">
        <v>0</v>
      </c>
      <c r="J65" s="221">
        <v>0</v>
      </c>
      <c r="K65" s="221">
        <v>0</v>
      </c>
      <c r="L65" s="221">
        <f t="shared" ref="L65" si="55">F65-K65</f>
        <v>0</v>
      </c>
      <c r="M65" s="194"/>
      <c r="N65" s="221">
        <f t="shared" ref="N65" si="56">K65</f>
        <v>0</v>
      </c>
      <c r="O65" s="221">
        <f t="shared" ref="O65" si="57">F65-N65</f>
        <v>0</v>
      </c>
      <c r="P65" s="194"/>
      <c r="Q65" s="194"/>
      <c r="R65" s="222">
        <v>652.19100000000003</v>
      </c>
      <c r="S65" s="223">
        <f t="shared" si="41"/>
        <v>-652.19100000000003</v>
      </c>
      <c r="T65" s="224"/>
    </row>
    <row r="66" spans="1:20" s="39" customFormat="1" ht="78" x14ac:dyDescent="0.25">
      <c r="A66" s="217" t="s">
        <v>235</v>
      </c>
      <c r="B66" s="180" t="s">
        <v>169</v>
      </c>
      <c r="C66" s="103"/>
      <c r="D66" s="125">
        <v>338.31700000000001</v>
      </c>
      <c r="E66" s="125">
        <v>338.31700000000001</v>
      </c>
      <c r="F66" s="222">
        <f>SUM(G66:J66)</f>
        <v>202.98899999999998</v>
      </c>
      <c r="G66" s="120">
        <v>0</v>
      </c>
      <c r="H66" s="216">
        <v>67.662999999999997</v>
      </c>
      <c r="I66" s="221">
        <v>67.662999999999997</v>
      </c>
      <c r="J66" s="120">
        <v>67.662999999999997</v>
      </c>
      <c r="K66" s="120">
        <v>202.989</v>
      </c>
      <c r="L66" s="120">
        <f>F66-K66</f>
        <v>0</v>
      </c>
      <c r="M66" s="194">
        <f>F66/K66*100</f>
        <v>99.999999999999986</v>
      </c>
      <c r="N66" s="120">
        <f>K66</f>
        <v>202.989</v>
      </c>
      <c r="O66" s="120">
        <f>F66-N66</f>
        <v>0</v>
      </c>
      <c r="P66" s="194">
        <f>F66/N66*100</f>
        <v>99.999999999999986</v>
      </c>
      <c r="Q66" s="194">
        <f>F66/E66*100</f>
        <v>59.999645303073734</v>
      </c>
      <c r="R66" s="121">
        <v>0</v>
      </c>
      <c r="S66" s="122">
        <f>F66-R66</f>
        <v>202.98899999999998</v>
      </c>
      <c r="T66" s="123"/>
    </row>
    <row r="67" spans="1:20" s="39" customFormat="1" ht="58.5" x14ac:dyDescent="0.25">
      <c r="A67" s="217" t="s">
        <v>236</v>
      </c>
      <c r="B67" s="226" t="s">
        <v>217</v>
      </c>
      <c r="C67" s="103"/>
      <c r="D67" s="125">
        <v>0</v>
      </c>
      <c r="E67" s="125">
        <v>156.357</v>
      </c>
      <c r="F67" s="222">
        <f t="shared" ref="F67:F68" si="58">SUM(G67:J67)</f>
        <v>156.357</v>
      </c>
      <c r="G67" s="216">
        <v>0</v>
      </c>
      <c r="H67" s="216">
        <v>0</v>
      </c>
      <c r="I67" s="221">
        <v>52.119</v>
      </c>
      <c r="J67" s="216">
        <f>52.119+52.119</f>
        <v>104.238</v>
      </c>
      <c r="K67" s="216">
        <v>156.357</v>
      </c>
      <c r="L67" s="221">
        <f t="shared" ref="L67:L68" si="59">F67-K67</f>
        <v>0</v>
      </c>
      <c r="M67" s="194">
        <f t="shared" ref="M67:M68" si="60">F67/K67*100</f>
        <v>100</v>
      </c>
      <c r="N67" s="216">
        <f>K67</f>
        <v>156.357</v>
      </c>
      <c r="O67" s="221">
        <f t="shared" ref="O67:O68" si="61">F67-N67</f>
        <v>0</v>
      </c>
      <c r="P67" s="194">
        <f t="shared" ref="P67:P68" si="62">F67/N67*100</f>
        <v>100</v>
      </c>
      <c r="Q67" s="194">
        <f t="shared" ref="Q67:Q68" si="63">F67/E67*100</f>
        <v>100</v>
      </c>
      <c r="R67" s="222">
        <v>0</v>
      </c>
      <c r="S67" s="223">
        <f t="shared" ref="S67:S68" si="64">F67-R67</f>
        <v>156.357</v>
      </c>
      <c r="T67" s="123"/>
    </row>
    <row r="68" spans="1:20" s="218" customFormat="1" ht="97.5" x14ac:dyDescent="0.25">
      <c r="A68" s="217" t="s">
        <v>237</v>
      </c>
      <c r="B68" s="226" t="s">
        <v>218</v>
      </c>
      <c r="C68" s="219"/>
      <c r="D68" s="225">
        <v>0</v>
      </c>
      <c r="E68" s="225">
        <v>170.48599999999999</v>
      </c>
      <c r="F68" s="222">
        <f t="shared" si="58"/>
        <v>0</v>
      </c>
      <c r="G68" s="221">
        <v>0</v>
      </c>
      <c r="H68" s="221">
        <v>0</v>
      </c>
      <c r="I68" s="221">
        <v>0</v>
      </c>
      <c r="J68" s="221">
        <v>0</v>
      </c>
      <c r="K68" s="221">
        <v>170.48599999999999</v>
      </c>
      <c r="L68" s="221">
        <f t="shared" si="59"/>
        <v>-170.48599999999999</v>
      </c>
      <c r="M68" s="194">
        <f t="shared" si="60"/>
        <v>0</v>
      </c>
      <c r="N68" s="221">
        <f t="shared" ref="N68" si="65">K68</f>
        <v>170.48599999999999</v>
      </c>
      <c r="O68" s="221">
        <f t="shared" si="61"/>
        <v>-170.48599999999999</v>
      </c>
      <c r="P68" s="194">
        <f t="shared" si="62"/>
        <v>0</v>
      </c>
      <c r="Q68" s="194">
        <f t="shared" si="63"/>
        <v>0</v>
      </c>
      <c r="R68" s="222">
        <v>0</v>
      </c>
      <c r="S68" s="223">
        <f t="shared" si="64"/>
        <v>0</v>
      </c>
      <c r="T68" s="224"/>
    </row>
    <row r="69" spans="1:20" s="46" customFormat="1" ht="22.5" x14ac:dyDescent="0.3">
      <c r="A69" s="43"/>
      <c r="B69" s="47" t="s">
        <v>29</v>
      </c>
      <c r="C69" s="44"/>
      <c r="D69" s="45">
        <f>D73+D72+D71</f>
        <v>904503.46699999995</v>
      </c>
      <c r="E69" s="45">
        <f>E73+E72+E71</f>
        <v>907008.37699999998</v>
      </c>
      <c r="F69" s="45">
        <f t="shared" si="11"/>
        <v>283561.29800000001</v>
      </c>
      <c r="G69" s="45">
        <f t="shared" ref="G69:J69" si="66">G73+G72+G71</f>
        <v>65509.462</v>
      </c>
      <c r="H69" s="45">
        <f t="shared" ref="H69:I69" si="67">H73+H72+H71</f>
        <v>66194.953000000009</v>
      </c>
      <c r="I69" s="45">
        <f t="shared" si="67"/>
        <v>70696.006999999998</v>
      </c>
      <c r="J69" s="45">
        <f t="shared" si="66"/>
        <v>81160.876000000004</v>
      </c>
      <c r="K69" s="45">
        <f>K73+K72+K71</f>
        <v>283762.06799999997</v>
      </c>
      <c r="L69" s="45">
        <f t="shared" si="14"/>
        <v>-200.76999999996042</v>
      </c>
      <c r="M69" s="196">
        <f t="shared" si="15"/>
        <v>99.929247062013957</v>
      </c>
      <c r="N69" s="45">
        <f>N73+N72+N71</f>
        <v>283762.06799999997</v>
      </c>
      <c r="O69" s="45">
        <f t="shared" si="17"/>
        <v>-200.76999999996042</v>
      </c>
      <c r="P69" s="196">
        <f t="shared" si="18"/>
        <v>99.929247062013957</v>
      </c>
      <c r="Q69" s="196">
        <f t="shared" si="19"/>
        <v>31.263360426493612</v>
      </c>
      <c r="R69" s="45">
        <f>R73+R72+R71</f>
        <v>245825.24100000004</v>
      </c>
      <c r="S69" s="87">
        <f t="shared" si="41"/>
        <v>37736.056999999972</v>
      </c>
      <c r="T69" s="88">
        <f>F69/R69*100</f>
        <v>115.35076579056418</v>
      </c>
    </row>
    <row r="70" spans="1:20" s="12" customFormat="1" ht="23.25" x14ac:dyDescent="0.25">
      <c r="A70" s="11"/>
      <c r="B70" s="176" t="s">
        <v>96</v>
      </c>
      <c r="C70" s="10"/>
      <c r="D70" s="126"/>
      <c r="E70" s="126"/>
      <c r="F70" s="127"/>
      <c r="G70" s="126"/>
      <c r="H70" s="126"/>
      <c r="I70" s="126"/>
      <c r="J70" s="126"/>
      <c r="K70" s="126"/>
      <c r="L70" s="126"/>
      <c r="M70" s="197"/>
      <c r="N70" s="126"/>
      <c r="O70" s="126"/>
      <c r="P70" s="197"/>
      <c r="Q70" s="197"/>
      <c r="R70" s="127"/>
      <c r="S70" s="92"/>
      <c r="T70" s="93"/>
    </row>
    <row r="71" spans="1:20" s="12" customFormat="1" ht="22.5" x14ac:dyDescent="0.25">
      <c r="A71" s="11"/>
      <c r="B71" s="165" t="s">
        <v>149</v>
      </c>
      <c r="C71" s="25"/>
      <c r="D71" s="54"/>
      <c r="E71" s="54"/>
      <c r="F71" s="45">
        <f t="shared" si="11"/>
        <v>0</v>
      </c>
      <c r="G71" s="54"/>
      <c r="H71" s="54"/>
      <c r="I71" s="54"/>
      <c r="J71" s="54"/>
      <c r="K71" s="54"/>
      <c r="L71" s="54"/>
      <c r="M71" s="191"/>
      <c r="N71" s="54"/>
      <c r="O71" s="54">
        <f t="shared" si="17"/>
        <v>0</v>
      </c>
      <c r="P71" s="191"/>
      <c r="Q71" s="191"/>
      <c r="R71" s="45">
        <f>R54</f>
        <v>3665.2</v>
      </c>
      <c r="S71" s="92">
        <f>F71-R71</f>
        <v>-3665.2</v>
      </c>
      <c r="T71" s="93"/>
    </row>
    <row r="72" spans="1:20" s="12" customFormat="1" ht="22.5" x14ac:dyDescent="0.25">
      <c r="A72" s="11"/>
      <c r="B72" s="165" t="s">
        <v>110</v>
      </c>
      <c r="C72" s="25"/>
      <c r="D72" s="54">
        <f>D56</f>
        <v>0</v>
      </c>
      <c r="E72" s="54">
        <f>E56</f>
        <v>2126.0949999999998</v>
      </c>
      <c r="F72" s="45">
        <f t="shared" si="11"/>
        <v>2126.0950000000003</v>
      </c>
      <c r="G72" s="54">
        <f>G56</f>
        <v>0</v>
      </c>
      <c r="H72" s="54">
        <f>H56</f>
        <v>561.92399999999998</v>
      </c>
      <c r="I72" s="54">
        <f>I56</f>
        <v>0</v>
      </c>
      <c r="J72" s="54">
        <f>J56</f>
        <v>1564.171</v>
      </c>
      <c r="K72" s="54">
        <f>K56</f>
        <v>2126.0949999999998</v>
      </c>
      <c r="L72" s="54">
        <f t="shared" ref="L72" si="68">F72-K72</f>
        <v>0</v>
      </c>
      <c r="M72" s="191">
        <f t="shared" ref="M72" si="69">F72/K72*100</f>
        <v>100.00000000000003</v>
      </c>
      <c r="N72" s="54">
        <f>N56</f>
        <v>2126.0949999999998</v>
      </c>
      <c r="O72" s="54">
        <f t="shared" si="17"/>
        <v>0</v>
      </c>
      <c r="P72" s="191">
        <f t="shared" ref="P72" si="70">F72/N72*100</f>
        <v>100.00000000000003</v>
      </c>
      <c r="Q72" s="191">
        <f t="shared" ref="Q72" si="71">F72/E72*100</f>
        <v>100.00000000000003</v>
      </c>
      <c r="R72" s="45"/>
      <c r="S72" s="92">
        <f>F72-R72</f>
        <v>2126.0950000000003</v>
      </c>
      <c r="T72" s="93"/>
    </row>
    <row r="73" spans="1:20" s="12" customFormat="1" ht="22.5" x14ac:dyDescent="0.25">
      <c r="A73" s="11"/>
      <c r="B73" s="165" t="s">
        <v>72</v>
      </c>
      <c r="C73" s="25"/>
      <c r="D73" s="54">
        <f>D74+D75</f>
        <v>904503.46699999995</v>
      </c>
      <c r="E73" s="54">
        <f>E74+E75</f>
        <v>904882.28200000001</v>
      </c>
      <c r="F73" s="45">
        <f t="shared" si="11"/>
        <v>281435.20300000004</v>
      </c>
      <c r="G73" s="54">
        <f>G74+G75</f>
        <v>65509.462</v>
      </c>
      <c r="H73" s="54">
        <f t="shared" ref="H73:I73" si="72">H74+H75</f>
        <v>65633.02900000001</v>
      </c>
      <c r="I73" s="54">
        <f t="shared" si="72"/>
        <v>70696.006999999998</v>
      </c>
      <c r="J73" s="54">
        <f t="shared" ref="J73:K73" si="73">J74+J75</f>
        <v>79596.705000000002</v>
      </c>
      <c r="K73" s="54">
        <f t="shared" si="73"/>
        <v>281635.973</v>
      </c>
      <c r="L73" s="54">
        <f t="shared" si="14"/>
        <v>-200.76999999996042</v>
      </c>
      <c r="M73" s="191">
        <f t="shared" si="15"/>
        <v>99.928712941794558</v>
      </c>
      <c r="N73" s="54">
        <f t="shared" ref="N73" si="74">N74+N75</f>
        <v>281635.973</v>
      </c>
      <c r="O73" s="54">
        <f t="shared" si="17"/>
        <v>-200.76999999996042</v>
      </c>
      <c r="P73" s="191">
        <f t="shared" si="18"/>
        <v>99.928712941794558</v>
      </c>
      <c r="Q73" s="191">
        <f t="shared" si="19"/>
        <v>31.10185806467145</v>
      </c>
      <c r="R73" s="45">
        <f>R74+R75</f>
        <v>242160.04100000003</v>
      </c>
      <c r="S73" s="92">
        <f>F73-R73</f>
        <v>39275.162000000011</v>
      </c>
      <c r="T73" s="93">
        <f>F73/R73*100</f>
        <v>116.2186799431538</v>
      </c>
    </row>
    <row r="74" spans="1:20" s="7" customFormat="1" ht="23.25" x14ac:dyDescent="0.25">
      <c r="A74" s="13"/>
      <c r="B74" s="16" t="s">
        <v>100</v>
      </c>
      <c r="C74" s="16"/>
      <c r="D74" s="125">
        <f>D55</f>
        <v>879086.1</v>
      </c>
      <c r="E74" s="125">
        <f>E55</f>
        <v>879086.1</v>
      </c>
      <c r="F74" s="128">
        <f t="shared" si="11"/>
        <v>273375.5</v>
      </c>
      <c r="G74" s="125">
        <f>G55</f>
        <v>63808.4</v>
      </c>
      <c r="H74" s="125">
        <f>H55</f>
        <v>63802.3</v>
      </c>
      <c r="I74" s="225">
        <f>I55</f>
        <v>68537.3</v>
      </c>
      <c r="J74" s="125">
        <f>J55</f>
        <v>77227.5</v>
      </c>
      <c r="K74" s="125">
        <f>K55</f>
        <v>273375.5</v>
      </c>
      <c r="L74" s="125">
        <f t="shared" si="14"/>
        <v>0</v>
      </c>
      <c r="M74" s="198">
        <f t="shared" si="15"/>
        <v>100</v>
      </c>
      <c r="N74" s="125">
        <f>N55</f>
        <v>273375.5</v>
      </c>
      <c r="O74" s="125">
        <f t="shared" si="17"/>
        <v>0</v>
      </c>
      <c r="P74" s="198">
        <f t="shared" si="18"/>
        <v>100</v>
      </c>
      <c r="Q74" s="198">
        <f t="shared" si="19"/>
        <v>31.09769338862257</v>
      </c>
      <c r="R74" s="128">
        <f>R55</f>
        <v>232459.40000000002</v>
      </c>
      <c r="S74" s="122">
        <f>F74-R74</f>
        <v>40916.099999999977</v>
      </c>
      <c r="T74" s="123">
        <f>F74/R74*100</f>
        <v>117.60139620079893</v>
      </c>
    </row>
    <row r="75" spans="1:20" s="7" customFormat="1" ht="23.25" x14ac:dyDescent="0.25">
      <c r="A75" s="13"/>
      <c r="B75" s="177" t="s">
        <v>99</v>
      </c>
      <c r="C75" s="16"/>
      <c r="D75" s="125">
        <f>D57+D61</f>
        <v>25417.366999999998</v>
      </c>
      <c r="E75" s="125">
        <f>E57+E61+E60</f>
        <v>25796.182000000001</v>
      </c>
      <c r="F75" s="128">
        <f t="shared" si="11"/>
        <v>8059.7029999999995</v>
      </c>
      <c r="G75" s="225">
        <f t="shared" ref="G75:I75" si="75">G57+G61+G60</f>
        <v>1701.0619999999999</v>
      </c>
      <c r="H75" s="225">
        <f t="shared" si="75"/>
        <v>1830.729</v>
      </c>
      <c r="I75" s="225">
        <f t="shared" si="75"/>
        <v>2158.7069999999999</v>
      </c>
      <c r="J75" s="125">
        <f>J57+J61+J60</f>
        <v>2369.2049999999999</v>
      </c>
      <c r="K75" s="125">
        <f>K57+K61+K60</f>
        <v>8260.473</v>
      </c>
      <c r="L75" s="125">
        <f t="shared" si="14"/>
        <v>-200.77000000000044</v>
      </c>
      <c r="M75" s="198">
        <f t="shared" si="15"/>
        <v>97.569509639460108</v>
      </c>
      <c r="N75" s="125">
        <f>N57+N61+N60</f>
        <v>8260.473</v>
      </c>
      <c r="O75" s="125">
        <f t="shared" si="17"/>
        <v>-200.77000000000044</v>
      </c>
      <c r="P75" s="198">
        <f t="shared" si="18"/>
        <v>97.569509639460108</v>
      </c>
      <c r="Q75" s="198">
        <f t="shared" si="19"/>
        <v>31.243782510140448</v>
      </c>
      <c r="R75" s="128">
        <f>R57+R61+R58+R59</f>
        <v>9700.6409999999996</v>
      </c>
      <c r="S75" s="122">
        <f>F75-R75</f>
        <v>-1640.9380000000001</v>
      </c>
      <c r="T75" s="123">
        <f>F75/R75*100</f>
        <v>83.084231237915091</v>
      </c>
    </row>
    <row r="76" spans="1:20" s="7" customFormat="1" ht="23.25" x14ac:dyDescent="0.25">
      <c r="A76" s="13"/>
      <c r="B76" s="41"/>
      <c r="C76" s="16"/>
      <c r="D76" s="125"/>
      <c r="E76" s="125"/>
      <c r="F76" s="128"/>
      <c r="G76" s="125"/>
      <c r="H76" s="125"/>
      <c r="I76" s="225"/>
      <c r="J76" s="125"/>
      <c r="K76" s="125"/>
      <c r="L76" s="125"/>
      <c r="M76" s="198"/>
      <c r="N76" s="125"/>
      <c r="O76" s="125"/>
      <c r="P76" s="198"/>
      <c r="Q76" s="198"/>
      <c r="R76" s="128"/>
      <c r="S76" s="122"/>
      <c r="T76" s="123"/>
    </row>
    <row r="77" spans="1:20" s="153" customFormat="1" ht="23.25" x14ac:dyDescent="0.3">
      <c r="A77" s="146"/>
      <c r="B77" s="147" t="s">
        <v>28</v>
      </c>
      <c r="C77" s="148"/>
      <c r="D77" s="149">
        <f>D69+D52</f>
        <v>6124253.8440000005</v>
      </c>
      <c r="E77" s="149">
        <f>E69+E52</f>
        <v>6126758.7540000007</v>
      </c>
      <c r="F77" s="149">
        <f t="shared" si="11"/>
        <v>2014678.7450000001</v>
      </c>
      <c r="G77" s="149">
        <f>G69+G52</f>
        <v>492255.30200000014</v>
      </c>
      <c r="H77" s="149">
        <f>H69+H52</f>
        <v>511684.46600000001</v>
      </c>
      <c r="I77" s="149">
        <f>I69+I52</f>
        <v>448401.6810000001</v>
      </c>
      <c r="J77" s="149">
        <f>J69+J52</f>
        <v>562337.29599999986</v>
      </c>
      <c r="K77" s="149">
        <f>K69+K52</f>
        <v>1890208.057</v>
      </c>
      <c r="L77" s="149">
        <f t="shared" si="14"/>
        <v>124470.68800000008</v>
      </c>
      <c r="M77" s="199">
        <f t="shared" si="15"/>
        <v>106.58502578798394</v>
      </c>
      <c r="N77" s="149">
        <f>N69+N52</f>
        <v>2023678.8603333333</v>
      </c>
      <c r="O77" s="149">
        <f t="shared" si="17"/>
        <v>-9000.1153333331458</v>
      </c>
      <c r="P77" s="199">
        <f t="shared" si="18"/>
        <v>99.555259704998321</v>
      </c>
      <c r="Q77" s="199">
        <f t="shared" si="19"/>
        <v>32.883271985936595</v>
      </c>
      <c r="R77" s="149">
        <f>R69+R52</f>
        <v>1942109.6689999998</v>
      </c>
      <c r="S77" s="150">
        <f>F77-R77</f>
        <v>72569.07600000035</v>
      </c>
      <c r="T77" s="151">
        <f>F77/R77*100</f>
        <v>103.7366106125905</v>
      </c>
    </row>
    <row r="78" spans="1:20" s="153" customFormat="1" ht="69.75" x14ac:dyDescent="0.3">
      <c r="A78" s="146"/>
      <c r="B78" s="147" t="s">
        <v>191</v>
      </c>
      <c r="C78" s="148"/>
      <c r="D78" s="149">
        <f>D77</f>
        <v>6124253.8440000005</v>
      </c>
      <c r="E78" s="149">
        <f>E77</f>
        <v>6126758.7540000007</v>
      </c>
      <c r="F78" s="149">
        <f t="shared" si="11"/>
        <v>2014678.7450000001</v>
      </c>
      <c r="G78" s="149">
        <f>G77</f>
        <v>492255.30200000014</v>
      </c>
      <c r="H78" s="149">
        <f>H77</f>
        <v>511684.46600000001</v>
      </c>
      <c r="I78" s="149">
        <f>I77</f>
        <v>448401.6810000001</v>
      </c>
      <c r="J78" s="149">
        <f>J77</f>
        <v>562337.29599999986</v>
      </c>
      <c r="K78" s="149">
        <f>K77</f>
        <v>1890208.057</v>
      </c>
      <c r="L78" s="149">
        <f t="shared" si="14"/>
        <v>124470.68800000008</v>
      </c>
      <c r="M78" s="199">
        <f t="shared" si="15"/>
        <v>106.58502578798394</v>
      </c>
      <c r="N78" s="149">
        <f>N77</f>
        <v>2023678.8603333333</v>
      </c>
      <c r="O78" s="149">
        <f t="shared" si="17"/>
        <v>-9000.1153333331458</v>
      </c>
      <c r="P78" s="199">
        <f t="shared" si="18"/>
        <v>99.555259704998321</v>
      </c>
      <c r="Q78" s="199">
        <f t="shared" si="19"/>
        <v>32.883271985936595</v>
      </c>
      <c r="R78" s="149">
        <f>R69+R53</f>
        <v>1655889.6509999996</v>
      </c>
      <c r="S78" s="150">
        <f>F78-R78</f>
        <v>358789.09400000051</v>
      </c>
      <c r="T78" s="151">
        <f>F78/R78*100</f>
        <v>121.66745192128752</v>
      </c>
    </row>
    <row r="79" spans="1:20" s="9" customFormat="1" ht="20.25" x14ac:dyDescent="0.25">
      <c r="A79" s="255" t="s">
        <v>9</v>
      </c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7"/>
    </row>
    <row r="80" spans="1:20" s="60" customFormat="1" ht="23.25" x14ac:dyDescent="0.3">
      <c r="A80" s="23">
        <v>1</v>
      </c>
      <c r="B80" s="59" t="s">
        <v>12</v>
      </c>
      <c r="C80" s="24" t="s">
        <v>21</v>
      </c>
      <c r="D80" s="124">
        <f>D81+D82</f>
        <v>88942.407999999996</v>
      </c>
      <c r="E80" s="124">
        <f>E81+E82</f>
        <v>88942.407999999996</v>
      </c>
      <c r="F80" s="117">
        <f t="shared" ref="F80:F115" si="76">SUM(G80:J80)</f>
        <v>66936.812999999995</v>
      </c>
      <c r="G80" s="116">
        <f t="shared" ref="G80:J80" si="77">G81+G82</f>
        <v>9018.42</v>
      </c>
      <c r="H80" s="116">
        <f t="shared" ref="H80:I80" si="78">H81+H82</f>
        <v>22969.59</v>
      </c>
      <c r="I80" s="220">
        <f t="shared" si="78"/>
        <v>14417.822</v>
      </c>
      <c r="J80" s="116">
        <f t="shared" si="77"/>
        <v>20530.981</v>
      </c>
      <c r="K80" s="116">
        <f>K81+K82</f>
        <v>29647.469000000001</v>
      </c>
      <c r="L80" s="116">
        <f t="shared" ref="L80:L100" si="79">F80-K80</f>
        <v>37289.343999999997</v>
      </c>
      <c r="M80" s="193">
        <f t="shared" ref="M80:M100" si="80">F80/K80*100</f>
        <v>225.77580905810203</v>
      </c>
      <c r="N80" s="116">
        <f>N81</f>
        <v>29647.469333333331</v>
      </c>
      <c r="O80" s="116">
        <f t="shared" ref="O80:O100" si="81">F80-N80</f>
        <v>37289.343666666668</v>
      </c>
      <c r="P80" s="193">
        <f t="shared" ref="P80:P100" si="82">F80/N80*100</f>
        <v>225.77580651965258</v>
      </c>
      <c r="Q80" s="193">
        <f t="shared" ref="Q80:Q100" si="83">F80/E80*100</f>
        <v>75.258602173217525</v>
      </c>
      <c r="R80" s="117">
        <f t="shared" ref="R80" si="84">R81+R82</f>
        <v>58767.844000000005</v>
      </c>
      <c r="S80" s="118">
        <f t="shared" ref="S80:S99" si="85">F80-R80</f>
        <v>8168.96899999999</v>
      </c>
      <c r="T80" s="119">
        <f t="shared" ref="T80:T87" si="86">F80/R80*100</f>
        <v>113.90040614728012</v>
      </c>
    </row>
    <row r="81" spans="1:20" s="63" customFormat="1" ht="39" x14ac:dyDescent="0.3">
      <c r="A81" s="38" t="s">
        <v>115</v>
      </c>
      <c r="B81" s="102" t="s">
        <v>111</v>
      </c>
      <c r="C81" s="16" t="s">
        <v>112</v>
      </c>
      <c r="D81" s="125">
        <v>88942.407999999996</v>
      </c>
      <c r="E81" s="125">
        <v>88942.407999999996</v>
      </c>
      <c r="F81" s="222">
        <f t="shared" si="76"/>
        <v>39184.347000000002</v>
      </c>
      <c r="G81" s="120">
        <v>6842.0010000000002</v>
      </c>
      <c r="H81" s="216">
        <v>8199.6650000000009</v>
      </c>
      <c r="I81" s="221">
        <v>8145.8459999999995</v>
      </c>
      <c r="J81" s="120">
        <v>15996.834999999999</v>
      </c>
      <c r="K81" s="120">
        <v>29647.469000000001</v>
      </c>
      <c r="L81" s="120">
        <f t="shared" si="79"/>
        <v>9536.8780000000006</v>
      </c>
      <c r="M81" s="194">
        <f t="shared" si="80"/>
        <v>132.16759582411569</v>
      </c>
      <c r="N81" s="120">
        <f>E81/12*4</f>
        <v>29647.469333333331</v>
      </c>
      <c r="O81" s="120">
        <f t="shared" si="81"/>
        <v>9536.8776666666708</v>
      </c>
      <c r="P81" s="194">
        <f t="shared" si="82"/>
        <v>132.16759433812499</v>
      </c>
      <c r="Q81" s="194">
        <f t="shared" si="83"/>
        <v>44.055864779374993</v>
      </c>
      <c r="R81" s="121">
        <v>27497.981</v>
      </c>
      <c r="S81" s="122">
        <f t="shared" si="85"/>
        <v>11686.366000000002</v>
      </c>
      <c r="T81" s="123">
        <f t="shared" si="86"/>
        <v>142.49899656269309</v>
      </c>
    </row>
    <row r="82" spans="1:20" s="63" customFormat="1" ht="23.25" x14ac:dyDescent="0.3">
      <c r="A82" s="38" t="s">
        <v>116</v>
      </c>
      <c r="B82" s="102" t="s">
        <v>113</v>
      </c>
      <c r="C82" s="16" t="s">
        <v>114</v>
      </c>
      <c r="D82" s="125">
        <v>0</v>
      </c>
      <c r="E82" s="125">
        <v>0</v>
      </c>
      <c r="F82" s="222">
        <f t="shared" si="76"/>
        <v>27752.465999999997</v>
      </c>
      <c r="G82" s="120">
        <v>2176.4189999999999</v>
      </c>
      <c r="H82" s="216">
        <v>14769.924999999999</v>
      </c>
      <c r="I82" s="221">
        <v>6271.9759999999997</v>
      </c>
      <c r="J82" s="120">
        <v>4534.1459999999997</v>
      </c>
      <c r="K82" s="120">
        <v>0</v>
      </c>
      <c r="L82" s="120">
        <f t="shared" si="79"/>
        <v>27752.465999999997</v>
      </c>
      <c r="M82" s="194"/>
      <c r="N82" s="120"/>
      <c r="O82" s="120">
        <f t="shared" si="81"/>
        <v>27752.465999999997</v>
      </c>
      <c r="P82" s="194"/>
      <c r="Q82" s="194"/>
      <c r="R82" s="121">
        <v>31269.863000000005</v>
      </c>
      <c r="S82" s="122">
        <f t="shared" si="85"/>
        <v>-3517.3970000000081</v>
      </c>
      <c r="T82" s="123">
        <f t="shared" si="86"/>
        <v>88.751479339707984</v>
      </c>
    </row>
    <row r="83" spans="1:20" s="60" customFormat="1" ht="39" x14ac:dyDescent="0.3">
      <c r="A83" s="215">
        <v>2</v>
      </c>
      <c r="B83" s="115" t="s">
        <v>209</v>
      </c>
      <c r="C83" s="24" t="s">
        <v>210</v>
      </c>
      <c r="D83" s="124">
        <v>0</v>
      </c>
      <c r="E83" s="124">
        <v>0</v>
      </c>
      <c r="F83" s="117">
        <f t="shared" si="76"/>
        <v>0.62</v>
      </c>
      <c r="G83" s="116">
        <v>0</v>
      </c>
      <c r="H83" s="116">
        <v>1.2999999999999999E-2</v>
      </c>
      <c r="I83" s="220">
        <v>0.60699999999999998</v>
      </c>
      <c r="J83" s="116">
        <v>0</v>
      </c>
      <c r="K83" s="116"/>
      <c r="L83" s="116">
        <f t="shared" si="79"/>
        <v>0.62</v>
      </c>
      <c r="M83" s="193"/>
      <c r="N83" s="116"/>
      <c r="O83" s="116">
        <f t="shared" si="81"/>
        <v>0.62</v>
      </c>
      <c r="P83" s="193"/>
      <c r="Q83" s="193"/>
      <c r="R83" s="117"/>
      <c r="S83" s="118">
        <f t="shared" si="85"/>
        <v>0.62</v>
      </c>
      <c r="T83" s="119"/>
    </row>
    <row r="84" spans="1:20" s="60" customFormat="1" ht="23.25" x14ac:dyDescent="0.3">
      <c r="A84" s="23">
        <f>A83+1</f>
        <v>3</v>
      </c>
      <c r="B84" s="115" t="s">
        <v>32</v>
      </c>
      <c r="C84" s="24" t="s">
        <v>31</v>
      </c>
      <c r="D84" s="124">
        <v>3460</v>
      </c>
      <c r="E84" s="124">
        <v>3460</v>
      </c>
      <c r="F84" s="117">
        <f t="shared" si="76"/>
        <v>1096.5340000000001</v>
      </c>
      <c r="G84" s="116">
        <v>20.629000000000001</v>
      </c>
      <c r="H84" s="116">
        <v>894.51700000000005</v>
      </c>
      <c r="I84" s="220">
        <v>27.177</v>
      </c>
      <c r="J84" s="116">
        <v>154.21100000000001</v>
      </c>
      <c r="K84" s="116">
        <v>987.11500000000001</v>
      </c>
      <c r="L84" s="116">
        <f t="shared" si="79"/>
        <v>109.4190000000001</v>
      </c>
      <c r="M84" s="193">
        <f t="shared" si="80"/>
        <v>111.08472670357558</v>
      </c>
      <c r="N84" s="116">
        <f t="shared" ref="N84:N85" si="87">E84/12*4</f>
        <v>1153.3333333333333</v>
      </c>
      <c r="O84" s="116">
        <f t="shared" si="81"/>
        <v>-56.799333333333152</v>
      </c>
      <c r="P84" s="193">
        <f t="shared" si="82"/>
        <v>95.075202312138742</v>
      </c>
      <c r="Q84" s="193">
        <f t="shared" si="83"/>
        <v>31.691734104046247</v>
      </c>
      <c r="R84" s="117">
        <v>624.05100000000004</v>
      </c>
      <c r="S84" s="118">
        <f t="shared" si="85"/>
        <v>472.48300000000006</v>
      </c>
      <c r="T84" s="119">
        <f t="shared" si="86"/>
        <v>175.71224146744419</v>
      </c>
    </row>
    <row r="85" spans="1:20" s="60" customFormat="1" ht="58.5" x14ac:dyDescent="0.3">
      <c r="A85" s="23">
        <f>A84+1</f>
        <v>4</v>
      </c>
      <c r="B85" s="59" t="s">
        <v>26</v>
      </c>
      <c r="C85" s="24" t="s">
        <v>25</v>
      </c>
      <c r="D85" s="124">
        <v>50</v>
      </c>
      <c r="E85" s="124">
        <v>50</v>
      </c>
      <c r="F85" s="117">
        <f t="shared" si="76"/>
        <v>300.39100000000002</v>
      </c>
      <c r="G85" s="116">
        <v>0</v>
      </c>
      <c r="H85" s="116">
        <v>286.39800000000002</v>
      </c>
      <c r="I85" s="220">
        <v>2.5</v>
      </c>
      <c r="J85" s="116">
        <v>11.493</v>
      </c>
      <c r="K85" s="116">
        <v>50</v>
      </c>
      <c r="L85" s="116">
        <f t="shared" si="79"/>
        <v>250.39100000000002</v>
      </c>
      <c r="M85" s="193">
        <f t="shared" si="80"/>
        <v>600.78200000000004</v>
      </c>
      <c r="N85" s="116">
        <f t="shared" si="87"/>
        <v>16.666666666666668</v>
      </c>
      <c r="O85" s="116">
        <f t="shared" si="81"/>
        <v>283.72433333333333</v>
      </c>
      <c r="P85" s="193">
        <f t="shared" si="82"/>
        <v>1802.346</v>
      </c>
      <c r="Q85" s="193">
        <f t="shared" si="83"/>
        <v>600.78200000000004</v>
      </c>
      <c r="R85" s="117">
        <v>38.216000000000001</v>
      </c>
      <c r="S85" s="118">
        <f t="shared" si="85"/>
        <v>262.17500000000001</v>
      </c>
      <c r="T85" s="119">
        <f t="shared" si="86"/>
        <v>786.03464517479586</v>
      </c>
    </row>
    <row r="86" spans="1:20" s="30" customFormat="1" ht="22.5" x14ac:dyDescent="0.3">
      <c r="A86" s="11">
        <f t="shared" ref="A86" si="88">A85+1</f>
        <v>5</v>
      </c>
      <c r="B86" s="15" t="s">
        <v>10</v>
      </c>
      <c r="C86" s="8"/>
      <c r="D86" s="54">
        <f>SUM(D87:D89)</f>
        <v>110700</v>
      </c>
      <c r="E86" s="54">
        <f>SUM(E87:E89)</f>
        <v>110700</v>
      </c>
      <c r="F86" s="45">
        <f t="shared" si="76"/>
        <v>45378.651999999995</v>
      </c>
      <c r="G86" s="54">
        <f>SUM(G87:G89)</f>
        <v>30538.786</v>
      </c>
      <c r="H86" s="54">
        <f>SUM(H87:H89)</f>
        <v>5031.7700000000004</v>
      </c>
      <c r="I86" s="54">
        <f>SUM(I87:I89)</f>
        <v>7656.5209999999997</v>
      </c>
      <c r="J86" s="54">
        <f>SUM(J87:J89)</f>
        <v>2151.5749999999998</v>
      </c>
      <c r="K86" s="54">
        <f>SUM(K87:K89)</f>
        <v>44418.16</v>
      </c>
      <c r="L86" s="54">
        <f t="shared" si="79"/>
        <v>960.49199999999109</v>
      </c>
      <c r="M86" s="191">
        <f t="shared" si="80"/>
        <v>102.16238583498279</v>
      </c>
      <c r="N86" s="54">
        <f>SUM(N87:N89)</f>
        <v>36900</v>
      </c>
      <c r="O86" s="54">
        <f t="shared" si="81"/>
        <v>8478.6519999999946</v>
      </c>
      <c r="P86" s="191">
        <f t="shared" si="82"/>
        <v>122.97737669376691</v>
      </c>
      <c r="Q86" s="191">
        <f t="shared" si="83"/>
        <v>40.992458897922305</v>
      </c>
      <c r="R86" s="45">
        <f>SUM(R87:R89)</f>
        <v>16749.727999999999</v>
      </c>
      <c r="S86" s="92">
        <f t="shared" si="85"/>
        <v>28628.923999999995</v>
      </c>
      <c r="T86" s="93">
        <f t="shared" si="86"/>
        <v>270.92172481845671</v>
      </c>
    </row>
    <row r="87" spans="1:20" s="63" customFormat="1" ht="39" x14ac:dyDescent="0.3">
      <c r="A87" s="13" t="s">
        <v>193</v>
      </c>
      <c r="B87" s="102" t="s">
        <v>131</v>
      </c>
      <c r="C87" s="16" t="s">
        <v>45</v>
      </c>
      <c r="D87" s="125">
        <v>0</v>
      </c>
      <c r="E87" s="125">
        <v>0</v>
      </c>
      <c r="F87" s="222">
        <f t="shared" si="76"/>
        <v>711.59100000000001</v>
      </c>
      <c r="G87" s="120">
        <v>48</v>
      </c>
      <c r="H87" s="216">
        <v>0</v>
      </c>
      <c r="I87" s="221">
        <v>274.428</v>
      </c>
      <c r="J87" s="120">
        <v>389.16300000000001</v>
      </c>
      <c r="K87" s="120">
        <v>0</v>
      </c>
      <c r="L87" s="120">
        <f t="shared" si="79"/>
        <v>711.59100000000001</v>
      </c>
      <c r="M87" s="198"/>
      <c r="N87" s="120">
        <f t="shared" ref="N87:N90" si="89">E87/12*4</f>
        <v>0</v>
      </c>
      <c r="O87" s="120">
        <f t="shared" si="81"/>
        <v>711.59100000000001</v>
      </c>
      <c r="P87" s="194"/>
      <c r="Q87" s="194"/>
      <c r="R87" s="121">
        <v>1986.1869999999999</v>
      </c>
      <c r="S87" s="122">
        <f t="shared" si="85"/>
        <v>-1274.596</v>
      </c>
      <c r="T87" s="123">
        <f t="shared" si="86"/>
        <v>35.826989100220672</v>
      </c>
    </row>
    <row r="88" spans="1:20" s="63" customFormat="1" ht="39" x14ac:dyDescent="0.3">
      <c r="A88" s="13" t="s">
        <v>194</v>
      </c>
      <c r="B88" s="102" t="s">
        <v>37</v>
      </c>
      <c r="C88" s="16" t="s">
        <v>22</v>
      </c>
      <c r="D88" s="125">
        <v>14000</v>
      </c>
      <c r="E88" s="125">
        <v>14000</v>
      </c>
      <c r="F88" s="222">
        <f t="shared" si="76"/>
        <v>11.051</v>
      </c>
      <c r="G88" s="120">
        <v>0</v>
      </c>
      <c r="H88" s="216">
        <v>9.6310000000000002</v>
      </c>
      <c r="I88" s="221">
        <v>0</v>
      </c>
      <c r="J88" s="120">
        <v>1.42</v>
      </c>
      <c r="K88" s="120">
        <v>10.722</v>
      </c>
      <c r="L88" s="120">
        <f t="shared" si="79"/>
        <v>0.32900000000000063</v>
      </c>
      <c r="M88" s="198">
        <f t="shared" si="80"/>
        <v>103.06845737735497</v>
      </c>
      <c r="N88" s="120">
        <f t="shared" si="89"/>
        <v>4666.666666666667</v>
      </c>
      <c r="O88" s="120">
        <f t="shared" si="81"/>
        <v>-4655.6156666666666</v>
      </c>
      <c r="P88" s="194">
        <f t="shared" si="82"/>
        <v>0.23680714285714285</v>
      </c>
      <c r="Q88" s="194">
        <f t="shared" si="83"/>
        <v>7.893571428571429E-2</v>
      </c>
      <c r="R88" s="121">
        <v>0</v>
      </c>
      <c r="S88" s="122">
        <f t="shared" si="85"/>
        <v>11.051</v>
      </c>
      <c r="T88" s="123"/>
    </row>
    <row r="89" spans="1:20" s="62" customFormat="1" ht="23.25" x14ac:dyDescent="0.3">
      <c r="A89" s="13" t="s">
        <v>195</v>
      </c>
      <c r="B89" s="41" t="s">
        <v>67</v>
      </c>
      <c r="C89" s="16" t="s">
        <v>43</v>
      </c>
      <c r="D89" s="125">
        <v>96700</v>
      </c>
      <c r="E89" s="125">
        <v>96700</v>
      </c>
      <c r="F89" s="128">
        <f t="shared" si="76"/>
        <v>44656.01</v>
      </c>
      <c r="G89" s="125">
        <v>30490.786</v>
      </c>
      <c r="H89" s="125">
        <v>5022.1390000000001</v>
      </c>
      <c r="I89" s="225">
        <v>7382.0929999999998</v>
      </c>
      <c r="J89" s="125">
        <v>1760.992</v>
      </c>
      <c r="K89" s="125">
        <v>44407.438000000002</v>
      </c>
      <c r="L89" s="125">
        <f t="shared" si="79"/>
        <v>248.57200000000012</v>
      </c>
      <c r="M89" s="198">
        <f t="shared" si="80"/>
        <v>100.55975307559963</v>
      </c>
      <c r="N89" s="125">
        <f t="shared" si="89"/>
        <v>32233.333333333332</v>
      </c>
      <c r="O89" s="125">
        <f t="shared" si="81"/>
        <v>12422.67666666667</v>
      </c>
      <c r="P89" s="198">
        <f t="shared" si="82"/>
        <v>138.53984488107551</v>
      </c>
      <c r="Q89" s="198">
        <f t="shared" si="83"/>
        <v>46.17994829369183</v>
      </c>
      <c r="R89" s="128">
        <v>14763.540999999999</v>
      </c>
      <c r="S89" s="122">
        <f t="shared" si="85"/>
        <v>29892.469000000005</v>
      </c>
      <c r="T89" s="123">
        <f>F89/R89*100</f>
        <v>302.47492793226235</v>
      </c>
    </row>
    <row r="90" spans="1:20" s="60" customFormat="1" ht="23.25" x14ac:dyDescent="0.3">
      <c r="A90" s="23">
        <v>6</v>
      </c>
      <c r="B90" s="115" t="s">
        <v>11</v>
      </c>
      <c r="C90" s="24" t="s">
        <v>23</v>
      </c>
      <c r="D90" s="124">
        <v>10220.1</v>
      </c>
      <c r="E90" s="124">
        <v>10220.1</v>
      </c>
      <c r="F90" s="117">
        <f t="shared" si="76"/>
        <v>5235.08</v>
      </c>
      <c r="G90" s="116">
        <v>885.63199999999995</v>
      </c>
      <c r="H90" s="116">
        <v>822.52</v>
      </c>
      <c r="I90" s="220">
        <v>2986.248</v>
      </c>
      <c r="J90" s="116">
        <v>540.67999999999995</v>
      </c>
      <c r="K90" s="116">
        <v>5217.0200000000004</v>
      </c>
      <c r="L90" s="116">
        <f t="shared" si="79"/>
        <v>18.059999999999491</v>
      </c>
      <c r="M90" s="193">
        <f t="shared" si="80"/>
        <v>100.34617463609491</v>
      </c>
      <c r="N90" s="116">
        <f t="shared" si="89"/>
        <v>3406.7000000000003</v>
      </c>
      <c r="O90" s="116">
        <f t="shared" si="81"/>
        <v>1828.3799999999997</v>
      </c>
      <c r="P90" s="193">
        <f t="shared" si="82"/>
        <v>153.67012064461207</v>
      </c>
      <c r="Q90" s="193">
        <f t="shared" si="83"/>
        <v>51.22337354820403</v>
      </c>
      <c r="R90" s="117">
        <v>5397.3440000000001</v>
      </c>
      <c r="S90" s="118">
        <f t="shared" si="85"/>
        <v>-162.26400000000012</v>
      </c>
      <c r="T90" s="119">
        <f>F90/R90*100</f>
        <v>96.993632423651334</v>
      </c>
    </row>
    <row r="91" spans="1:20" s="50" customFormat="1" ht="22.5" x14ac:dyDescent="0.3">
      <c r="A91" s="48"/>
      <c r="B91" s="85" t="s">
        <v>163</v>
      </c>
      <c r="C91" s="49"/>
      <c r="D91" s="45">
        <f>D80+D84+D85+D87+D88+D89+D90+D83</f>
        <v>213372.508</v>
      </c>
      <c r="E91" s="45">
        <f>E80+E84+E85+E87+E88+E89+E90+E83</f>
        <v>213372.508</v>
      </c>
      <c r="F91" s="45">
        <f t="shared" si="76"/>
        <v>118948.09</v>
      </c>
      <c r="G91" s="45">
        <f t="shared" ref="G91:K91" si="90">G80+G84+G85+G87+G88+G89+G90+G83</f>
        <v>40463.466999999997</v>
      </c>
      <c r="H91" s="45">
        <f t="shared" si="90"/>
        <v>30004.808000000001</v>
      </c>
      <c r="I91" s="45">
        <f t="shared" ref="I91" si="91">I80+I84+I85+I87+I88+I89+I90+I83</f>
        <v>25090.875</v>
      </c>
      <c r="J91" s="45">
        <f t="shared" si="90"/>
        <v>23388.939999999995</v>
      </c>
      <c r="K91" s="45">
        <f t="shared" si="90"/>
        <v>80319.76400000001</v>
      </c>
      <c r="L91" s="45">
        <f t="shared" si="79"/>
        <v>38628.325999999986</v>
      </c>
      <c r="M91" s="196">
        <f t="shared" si="80"/>
        <v>148.09317666819834</v>
      </c>
      <c r="N91" s="45">
        <f>N80+N84+N85+N87+N88+N89+N90+N83</f>
        <v>71124.169333333324</v>
      </c>
      <c r="O91" s="45">
        <f t="shared" si="81"/>
        <v>47823.920666666672</v>
      </c>
      <c r="P91" s="196">
        <f t="shared" si="82"/>
        <v>167.24004106470923</v>
      </c>
      <c r="Q91" s="196">
        <f t="shared" si="83"/>
        <v>55.746680354903077</v>
      </c>
      <c r="R91" s="45">
        <f>R80+R84+R85+R87+R88+R89+R90+R83</f>
        <v>81577.183000000005</v>
      </c>
      <c r="S91" s="87">
        <f t="shared" si="85"/>
        <v>37370.906999999992</v>
      </c>
      <c r="T91" s="88">
        <f>F91/R91*100</f>
        <v>145.81048968067455</v>
      </c>
    </row>
    <row r="92" spans="1:20" s="26" customFormat="1" ht="97.5" x14ac:dyDescent="0.25">
      <c r="A92" s="23">
        <v>1</v>
      </c>
      <c r="B92" s="59" t="s">
        <v>157</v>
      </c>
      <c r="C92" s="24" t="s">
        <v>71</v>
      </c>
      <c r="D92" s="124">
        <v>17390</v>
      </c>
      <c r="E92" s="124">
        <v>17390</v>
      </c>
      <c r="F92" s="129">
        <f t="shared" si="76"/>
        <v>130.697</v>
      </c>
      <c r="G92" s="124">
        <v>0</v>
      </c>
      <c r="H92" s="124">
        <v>0</v>
      </c>
      <c r="I92" s="124">
        <v>130.697</v>
      </c>
      <c r="J92" s="124">
        <v>0</v>
      </c>
      <c r="K92" s="124">
        <v>17390</v>
      </c>
      <c r="L92" s="124">
        <f t="shared" si="79"/>
        <v>-17259.303</v>
      </c>
      <c r="M92" s="130">
        <f t="shared" si="80"/>
        <v>0.75156411730879813</v>
      </c>
      <c r="N92" s="124">
        <f>K92</f>
        <v>17390</v>
      </c>
      <c r="O92" s="124">
        <f t="shared" si="81"/>
        <v>-17259.303</v>
      </c>
      <c r="P92" s="130">
        <f t="shared" si="82"/>
        <v>0.75156411730879813</v>
      </c>
      <c r="Q92" s="130">
        <f t="shared" si="83"/>
        <v>0.75156411730879813</v>
      </c>
      <c r="R92" s="129">
        <v>34000</v>
      </c>
      <c r="S92" s="118">
        <f t="shared" si="85"/>
        <v>-33869.303</v>
      </c>
      <c r="T92" s="119">
        <f>F92/R92*100</f>
        <v>0.38440294117647056</v>
      </c>
    </row>
    <row r="93" spans="1:20" s="26" customFormat="1" ht="39" x14ac:dyDescent="0.25">
      <c r="A93" s="23">
        <f>A92+1</f>
        <v>2</v>
      </c>
      <c r="B93" s="178" t="s">
        <v>206</v>
      </c>
      <c r="C93" s="143" t="s">
        <v>207</v>
      </c>
      <c r="D93" s="124">
        <v>0</v>
      </c>
      <c r="E93" s="124">
        <v>10260.334000000001</v>
      </c>
      <c r="F93" s="129">
        <f t="shared" si="76"/>
        <v>10260.334000000001</v>
      </c>
      <c r="G93" s="124">
        <v>0</v>
      </c>
      <c r="H93" s="124">
        <v>10260.334000000001</v>
      </c>
      <c r="I93" s="124">
        <v>0</v>
      </c>
      <c r="J93" s="124">
        <v>0</v>
      </c>
      <c r="K93" s="124">
        <v>10260.334000000001</v>
      </c>
      <c r="L93" s="124">
        <f t="shared" ref="L93:L94" si="92">F93-K93</f>
        <v>0</v>
      </c>
      <c r="M93" s="130">
        <f t="shared" ref="M93:M94" si="93">F93/K93*100</f>
        <v>100</v>
      </c>
      <c r="N93" s="124">
        <f>K93</f>
        <v>10260.334000000001</v>
      </c>
      <c r="O93" s="124">
        <f t="shared" ref="O93:O94" si="94">F93-N93</f>
        <v>0</v>
      </c>
      <c r="P93" s="130">
        <f t="shared" ref="P93:P94" si="95">F93/N93*100</f>
        <v>100</v>
      </c>
      <c r="Q93" s="130">
        <f t="shared" ref="Q93:Q94" si="96">F93/E93*100</f>
        <v>100</v>
      </c>
      <c r="R93" s="129">
        <v>0</v>
      </c>
      <c r="S93" s="118">
        <f t="shared" si="85"/>
        <v>10260.334000000001</v>
      </c>
      <c r="T93" s="119"/>
    </row>
    <row r="94" spans="1:20" s="26" customFormat="1" ht="39" x14ac:dyDescent="0.25">
      <c r="A94" s="23">
        <v>3</v>
      </c>
      <c r="B94" s="59" t="s">
        <v>175</v>
      </c>
      <c r="C94" s="24" t="s">
        <v>176</v>
      </c>
      <c r="D94" s="124">
        <v>0</v>
      </c>
      <c r="E94" s="124">
        <v>24369.562000000002</v>
      </c>
      <c r="F94" s="129">
        <f t="shared" si="76"/>
        <v>24369.562000000002</v>
      </c>
      <c r="G94" s="124">
        <v>24369.562000000002</v>
      </c>
      <c r="H94" s="124">
        <v>0</v>
      </c>
      <c r="I94" s="124">
        <v>0</v>
      </c>
      <c r="J94" s="124">
        <v>0</v>
      </c>
      <c r="K94" s="124">
        <v>24369.562000000002</v>
      </c>
      <c r="L94" s="124">
        <f t="shared" si="92"/>
        <v>0</v>
      </c>
      <c r="M94" s="130">
        <f t="shared" si="93"/>
        <v>100</v>
      </c>
      <c r="N94" s="220">
        <f>K94</f>
        <v>24369.562000000002</v>
      </c>
      <c r="O94" s="124">
        <f t="shared" si="94"/>
        <v>0</v>
      </c>
      <c r="P94" s="130">
        <f t="shared" si="95"/>
        <v>100</v>
      </c>
      <c r="Q94" s="130">
        <f t="shared" si="96"/>
        <v>100</v>
      </c>
      <c r="R94" s="129">
        <v>0</v>
      </c>
      <c r="S94" s="118">
        <f t="shared" ref="S94" si="97">F94-R94</f>
        <v>24369.562000000002</v>
      </c>
      <c r="T94" s="119"/>
    </row>
    <row r="95" spans="1:20" s="46" customFormat="1" ht="22.5" x14ac:dyDescent="0.3">
      <c r="A95" s="43"/>
      <c r="B95" s="47" t="s">
        <v>27</v>
      </c>
      <c r="C95" s="49"/>
      <c r="D95" s="45">
        <f t="shared" ref="D95:E95" si="98">D96+D99</f>
        <v>17390</v>
      </c>
      <c r="E95" s="45">
        <f t="shared" si="98"/>
        <v>52019.896000000008</v>
      </c>
      <c r="F95" s="45">
        <f>SUM(G95:J95)</f>
        <v>34760.593000000001</v>
      </c>
      <c r="G95" s="45">
        <f t="shared" ref="G95:H95" si="99">G96+G99</f>
        <v>24369.562000000002</v>
      </c>
      <c r="H95" s="45">
        <f t="shared" si="99"/>
        <v>10260.334000000001</v>
      </c>
      <c r="I95" s="45">
        <f>I96+I99</f>
        <v>130.697</v>
      </c>
      <c r="J95" s="45">
        <f>J96+J99</f>
        <v>0</v>
      </c>
      <c r="K95" s="45">
        <f t="shared" ref="K95" si="100">K96</f>
        <v>27650.334000000003</v>
      </c>
      <c r="L95" s="45">
        <f t="shared" si="79"/>
        <v>7110.2589999999982</v>
      </c>
      <c r="M95" s="196">
        <f t="shared" si="80"/>
        <v>125.71491179817211</v>
      </c>
      <c r="N95" s="45">
        <f>N96+N99</f>
        <v>52019.896000000008</v>
      </c>
      <c r="O95" s="45">
        <f t="shared" si="81"/>
        <v>-17259.303000000007</v>
      </c>
      <c r="P95" s="196">
        <f t="shared" si="82"/>
        <v>66.82172720991214</v>
      </c>
      <c r="Q95" s="196">
        <f t="shared" si="83"/>
        <v>66.82172720991214</v>
      </c>
      <c r="R95" s="45">
        <f>R96+R99</f>
        <v>34000</v>
      </c>
      <c r="S95" s="87">
        <f t="shared" si="85"/>
        <v>760.59300000000076</v>
      </c>
      <c r="T95" s="88"/>
    </row>
    <row r="96" spans="1:20" s="192" customFormat="1" ht="22.5" x14ac:dyDescent="0.25">
      <c r="A96" s="33"/>
      <c r="B96" s="190" t="s">
        <v>72</v>
      </c>
      <c r="C96" s="25"/>
      <c r="D96" s="54">
        <f>D97+D98</f>
        <v>17390</v>
      </c>
      <c r="E96" s="54">
        <f>E97+E98</f>
        <v>27650.334000000003</v>
      </c>
      <c r="F96" s="45">
        <f>SUM(G96:J96)</f>
        <v>10391.031000000001</v>
      </c>
      <c r="G96" s="54">
        <f>G97+G98</f>
        <v>0</v>
      </c>
      <c r="H96" s="54">
        <f>H97+H98</f>
        <v>10260.334000000001</v>
      </c>
      <c r="I96" s="54">
        <f>I97+I98</f>
        <v>130.697</v>
      </c>
      <c r="J96" s="54">
        <f>J97+J98</f>
        <v>0</v>
      </c>
      <c r="K96" s="54">
        <f>K97+K98</f>
        <v>27650.334000000003</v>
      </c>
      <c r="L96" s="54">
        <f t="shared" si="79"/>
        <v>-17259.303</v>
      </c>
      <c r="M96" s="191">
        <f t="shared" si="80"/>
        <v>37.580128326840459</v>
      </c>
      <c r="N96" s="54">
        <f>N97+N98</f>
        <v>27650.334000000003</v>
      </c>
      <c r="O96" s="54">
        <f t="shared" si="81"/>
        <v>-17259.303</v>
      </c>
      <c r="P96" s="191">
        <f t="shared" si="82"/>
        <v>37.580128326840459</v>
      </c>
      <c r="Q96" s="191">
        <f t="shared" si="83"/>
        <v>37.580128326840459</v>
      </c>
      <c r="R96" s="45">
        <f>R97+R98</f>
        <v>34000</v>
      </c>
      <c r="S96" s="92">
        <f t="shared" si="85"/>
        <v>-23608.968999999997</v>
      </c>
      <c r="T96" s="93"/>
    </row>
    <row r="97" spans="1:20" s="7" customFormat="1" ht="23.25" x14ac:dyDescent="0.25">
      <c r="A97" s="13"/>
      <c r="B97" s="16" t="s">
        <v>100</v>
      </c>
      <c r="C97" s="16"/>
      <c r="D97" s="125">
        <f>D92</f>
        <v>17390</v>
      </c>
      <c r="E97" s="125">
        <f>E92</f>
        <v>17390</v>
      </c>
      <c r="F97" s="128">
        <f t="shared" si="76"/>
        <v>130.697</v>
      </c>
      <c r="G97" s="125">
        <f t="shared" ref="G97:K98" si="101">G92</f>
        <v>0</v>
      </c>
      <c r="H97" s="125">
        <f t="shared" si="101"/>
        <v>0</v>
      </c>
      <c r="I97" s="225">
        <f t="shared" ref="I97" si="102">I92</f>
        <v>130.697</v>
      </c>
      <c r="J97" s="125">
        <f t="shared" si="101"/>
        <v>0</v>
      </c>
      <c r="K97" s="125">
        <f t="shared" si="101"/>
        <v>17390</v>
      </c>
      <c r="L97" s="125">
        <f t="shared" si="79"/>
        <v>-17259.303</v>
      </c>
      <c r="M97" s="198">
        <f t="shared" si="80"/>
        <v>0.75156411730879813</v>
      </c>
      <c r="N97" s="125">
        <f>N92</f>
        <v>17390</v>
      </c>
      <c r="O97" s="125">
        <f t="shared" si="81"/>
        <v>-17259.303</v>
      </c>
      <c r="P97" s="198">
        <f t="shared" si="82"/>
        <v>0.75156411730879813</v>
      </c>
      <c r="Q97" s="198">
        <f t="shared" si="83"/>
        <v>0.75156411730879813</v>
      </c>
      <c r="R97" s="128">
        <f>R92</f>
        <v>34000</v>
      </c>
      <c r="S97" s="122">
        <f t="shared" si="85"/>
        <v>-33869.303</v>
      </c>
      <c r="T97" s="123"/>
    </row>
    <row r="98" spans="1:20" s="7" customFormat="1" ht="23.25" x14ac:dyDescent="0.25">
      <c r="A98" s="13"/>
      <c r="B98" s="177" t="s">
        <v>99</v>
      </c>
      <c r="C98" s="16"/>
      <c r="D98" s="125"/>
      <c r="E98" s="125">
        <f>E93</f>
        <v>10260.334000000001</v>
      </c>
      <c r="F98" s="128">
        <f t="shared" si="76"/>
        <v>10260.334000000001</v>
      </c>
      <c r="G98" s="125">
        <f t="shared" si="101"/>
        <v>0</v>
      </c>
      <c r="H98" s="125">
        <f t="shared" si="101"/>
        <v>10260.334000000001</v>
      </c>
      <c r="I98" s="225">
        <f t="shared" ref="I98" si="103">I93</f>
        <v>0</v>
      </c>
      <c r="J98" s="125">
        <f t="shared" si="101"/>
        <v>0</v>
      </c>
      <c r="K98" s="125">
        <f>K93</f>
        <v>10260.334000000001</v>
      </c>
      <c r="L98" s="125">
        <f t="shared" si="79"/>
        <v>0</v>
      </c>
      <c r="M98" s="198">
        <f t="shared" si="80"/>
        <v>100</v>
      </c>
      <c r="N98" s="125">
        <f>N93</f>
        <v>10260.334000000001</v>
      </c>
      <c r="O98" s="125">
        <f t="shared" si="81"/>
        <v>0</v>
      </c>
      <c r="P98" s="198">
        <f t="shared" ref="P98" si="104">F98/N98*100</f>
        <v>100</v>
      </c>
      <c r="Q98" s="198">
        <f t="shared" ref="Q98" si="105">F98/E98*100</f>
        <v>100</v>
      </c>
      <c r="R98" s="128">
        <v>0</v>
      </c>
      <c r="S98" s="122">
        <f t="shared" si="85"/>
        <v>10260.334000000001</v>
      </c>
      <c r="T98" s="123"/>
    </row>
    <row r="99" spans="1:20" s="192" customFormat="1" ht="39" x14ac:dyDescent="0.25">
      <c r="A99" s="33"/>
      <c r="B99" s="190" t="s">
        <v>220</v>
      </c>
      <c r="C99" s="25"/>
      <c r="D99" s="54">
        <f>D94</f>
        <v>0</v>
      </c>
      <c r="E99" s="54">
        <f>E94</f>
        <v>24369.562000000002</v>
      </c>
      <c r="F99" s="45">
        <f t="shared" si="76"/>
        <v>24369.562000000002</v>
      </c>
      <c r="G99" s="54">
        <f>G94</f>
        <v>24369.562000000002</v>
      </c>
      <c r="H99" s="54">
        <f t="shared" ref="H99:J99" si="106">H94</f>
        <v>0</v>
      </c>
      <c r="I99" s="54">
        <f t="shared" ref="I99" si="107">I94</f>
        <v>0</v>
      </c>
      <c r="J99" s="54">
        <f t="shared" si="106"/>
        <v>0</v>
      </c>
      <c r="K99" s="54">
        <f>K94</f>
        <v>24369.562000000002</v>
      </c>
      <c r="L99" s="54">
        <f t="shared" ref="L99" si="108">F99-K99</f>
        <v>0</v>
      </c>
      <c r="M99" s="191">
        <f t="shared" ref="M99" si="109">F99/K99*100</f>
        <v>100</v>
      </c>
      <c r="N99" s="54">
        <f>N94</f>
        <v>24369.562000000002</v>
      </c>
      <c r="O99" s="54">
        <f t="shared" ref="O99" si="110">F99-N99</f>
        <v>0</v>
      </c>
      <c r="P99" s="191">
        <f t="shared" ref="P99" si="111">F99/N99*100</f>
        <v>100</v>
      </c>
      <c r="Q99" s="191">
        <f t="shared" ref="Q99" si="112">F99/E99*100</f>
        <v>100</v>
      </c>
      <c r="R99" s="45"/>
      <c r="S99" s="92">
        <f t="shared" si="85"/>
        <v>24369.562000000002</v>
      </c>
      <c r="T99" s="93"/>
    </row>
    <row r="100" spans="1:20" s="153" customFormat="1" ht="23.25" x14ac:dyDescent="0.3">
      <c r="A100" s="146"/>
      <c r="B100" s="147" t="s">
        <v>42</v>
      </c>
      <c r="C100" s="154"/>
      <c r="D100" s="149">
        <f>D91+D95</f>
        <v>230762.508</v>
      </c>
      <c r="E100" s="149">
        <f>E91+E95</f>
        <v>265392.40399999998</v>
      </c>
      <c r="F100" s="149">
        <f>SUM(G100:J100)</f>
        <v>153708.68299999999</v>
      </c>
      <c r="G100" s="149">
        <f>G91+G95</f>
        <v>64833.028999999995</v>
      </c>
      <c r="H100" s="149">
        <f t="shared" ref="H100:J100" si="113">H91+H95</f>
        <v>40265.142</v>
      </c>
      <c r="I100" s="149">
        <f t="shared" ref="I100" si="114">I91+I95</f>
        <v>25221.572</v>
      </c>
      <c r="J100" s="149">
        <f t="shared" si="113"/>
        <v>23388.939999999995</v>
      </c>
      <c r="K100" s="149">
        <f t="shared" ref="K100" si="115">K91+K95</f>
        <v>107970.09800000001</v>
      </c>
      <c r="L100" s="149">
        <f t="shared" si="79"/>
        <v>45738.584999999977</v>
      </c>
      <c r="M100" s="199">
        <f t="shared" si="80"/>
        <v>142.36227052419642</v>
      </c>
      <c r="N100" s="149">
        <f>N91+N95</f>
        <v>123144.06533333333</v>
      </c>
      <c r="O100" s="149">
        <f t="shared" si="81"/>
        <v>30564.617666666658</v>
      </c>
      <c r="P100" s="199">
        <f t="shared" si="82"/>
        <v>124.82021166341441</v>
      </c>
      <c r="Q100" s="199">
        <f t="shared" si="83"/>
        <v>57.917514097351486</v>
      </c>
      <c r="R100" s="149">
        <f>R91+R95</f>
        <v>115577.183</v>
      </c>
      <c r="S100" s="229">
        <f>F100-R100</f>
        <v>38131.499999999985</v>
      </c>
      <c r="T100" s="151">
        <f>F100/R100*100</f>
        <v>132.99223861512525</v>
      </c>
    </row>
    <row r="101" spans="1:20" s="12" customFormat="1" ht="20.25" x14ac:dyDescent="0.25">
      <c r="A101" s="258" t="s">
        <v>41</v>
      </c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60"/>
    </row>
    <row r="102" spans="1:20" s="153" customFormat="1" ht="23.25" x14ac:dyDescent="0.3">
      <c r="A102" s="162"/>
      <c r="B102" s="147" t="s">
        <v>166</v>
      </c>
      <c r="C102" s="154"/>
      <c r="D102" s="149">
        <f>D52+D91</f>
        <v>5433122.8850000007</v>
      </c>
      <c r="E102" s="149">
        <f>E52+E91</f>
        <v>5433122.8850000007</v>
      </c>
      <c r="F102" s="149">
        <f t="shared" si="76"/>
        <v>1850065.537</v>
      </c>
      <c r="G102" s="149">
        <f>G52+G91</f>
        <v>467209.30700000015</v>
      </c>
      <c r="H102" s="149">
        <f>H52+H91</f>
        <v>475494.321</v>
      </c>
      <c r="I102" s="149">
        <f>I52+I91</f>
        <v>402796.54900000012</v>
      </c>
      <c r="J102" s="149">
        <f>J52+J91</f>
        <v>504565.35999999987</v>
      </c>
      <c r="K102" s="149">
        <f>K52+K91</f>
        <v>1686765.753</v>
      </c>
      <c r="L102" s="149">
        <f t="shared" ref="L102:L114" si="116">F102-K102</f>
        <v>163299.78399999999</v>
      </c>
      <c r="M102" s="199">
        <f t="shared" ref="M102:M114" si="117">F102/K102*100</f>
        <v>109.68123663345446</v>
      </c>
      <c r="N102" s="149">
        <f>N52+N91</f>
        <v>1811040.9616666667</v>
      </c>
      <c r="O102" s="149">
        <f t="shared" ref="O102:O114" si="118">F102-N102</f>
        <v>39024.575333333341</v>
      </c>
      <c r="P102" s="199">
        <f t="shared" ref="P102:P114" si="119">F102/N102*100</f>
        <v>102.15481461542537</v>
      </c>
      <c r="Q102" s="199">
        <f t="shared" ref="Q102:Q114" si="120">F102/E102*100</f>
        <v>34.051604871808451</v>
      </c>
      <c r="R102" s="149">
        <f>R52+R91</f>
        <v>1777861.6109999996</v>
      </c>
      <c r="S102" s="150">
        <f>F102-R102</f>
        <v>72203.926000000443</v>
      </c>
      <c r="T102" s="151">
        <f>F102/R102*100</f>
        <v>104.06127932305078</v>
      </c>
    </row>
    <row r="103" spans="1:20" s="153" customFormat="1" ht="69.75" x14ac:dyDescent="0.3">
      <c r="A103" s="162"/>
      <c r="B103" s="147" t="s">
        <v>202</v>
      </c>
      <c r="C103" s="154"/>
      <c r="D103" s="149">
        <f>D102</f>
        <v>5433122.8850000007</v>
      </c>
      <c r="E103" s="149">
        <f>E102</f>
        <v>5433122.8850000007</v>
      </c>
      <c r="F103" s="149">
        <f t="shared" si="76"/>
        <v>1850065.537</v>
      </c>
      <c r="G103" s="149">
        <f>G102</f>
        <v>467209.30700000015</v>
      </c>
      <c r="H103" s="149">
        <f>H102</f>
        <v>475494.321</v>
      </c>
      <c r="I103" s="149">
        <f>I102</f>
        <v>402796.54900000012</v>
      </c>
      <c r="J103" s="149">
        <f>J102</f>
        <v>504565.35999999987</v>
      </c>
      <c r="K103" s="149">
        <f>K102</f>
        <v>1686765.753</v>
      </c>
      <c r="L103" s="149">
        <f t="shared" ref="L103" si="121">F103-K103</f>
        <v>163299.78399999999</v>
      </c>
      <c r="M103" s="199">
        <f t="shared" ref="M103" si="122">F103/K103*100</f>
        <v>109.68123663345446</v>
      </c>
      <c r="N103" s="149">
        <f>N102</f>
        <v>1811040.9616666667</v>
      </c>
      <c r="O103" s="149">
        <f t="shared" ref="O103" si="123">F103-N103</f>
        <v>39024.575333333341</v>
      </c>
      <c r="P103" s="199">
        <f t="shared" ref="P103" si="124">F103/N103*100</f>
        <v>102.15481461542537</v>
      </c>
      <c r="Q103" s="199">
        <f t="shared" ref="Q103" si="125">F103/E103*100</f>
        <v>34.051604871808451</v>
      </c>
      <c r="R103" s="149">
        <f>R91+R53</f>
        <v>1491641.5929999996</v>
      </c>
      <c r="S103" s="150">
        <f>F103-R103</f>
        <v>358423.94400000037</v>
      </c>
      <c r="T103" s="151">
        <f>F103/R103*100</f>
        <v>124.02882473122352</v>
      </c>
    </row>
    <row r="104" spans="1:20" s="30" customFormat="1" ht="22.5" x14ac:dyDescent="0.3">
      <c r="A104" s="182"/>
      <c r="B104" s="15"/>
      <c r="C104" s="25"/>
      <c r="D104" s="54"/>
      <c r="E104" s="54"/>
      <c r="F104" s="45"/>
      <c r="G104" s="54"/>
      <c r="H104" s="54"/>
      <c r="I104" s="54"/>
      <c r="J104" s="54"/>
      <c r="K104" s="54"/>
      <c r="L104" s="54"/>
      <c r="M104" s="191"/>
      <c r="N104" s="54"/>
      <c r="O104" s="54"/>
      <c r="P104" s="191"/>
      <c r="Q104" s="191"/>
      <c r="R104" s="45"/>
      <c r="S104" s="92"/>
      <c r="T104" s="93"/>
    </row>
    <row r="105" spans="1:20" s="30" customFormat="1" ht="22.5" hidden="1" x14ac:dyDescent="0.3">
      <c r="A105" s="11"/>
      <c r="B105" s="15"/>
      <c r="C105" s="25"/>
      <c r="D105" s="54"/>
      <c r="E105" s="54"/>
      <c r="F105" s="45">
        <f t="shared" si="76"/>
        <v>0</v>
      </c>
      <c r="G105" s="54"/>
      <c r="H105" s="54"/>
      <c r="I105" s="54"/>
      <c r="J105" s="54"/>
      <c r="K105" s="54"/>
      <c r="L105" s="54"/>
      <c r="M105" s="191"/>
      <c r="N105" s="54"/>
      <c r="O105" s="54"/>
      <c r="P105" s="191"/>
      <c r="Q105" s="191"/>
      <c r="R105" s="45"/>
      <c r="S105" s="92"/>
      <c r="T105" s="93"/>
    </row>
    <row r="106" spans="1:20" s="46" customFormat="1" ht="22.5" x14ac:dyDescent="0.3">
      <c r="A106" s="43"/>
      <c r="B106" s="47" t="s">
        <v>27</v>
      </c>
      <c r="C106" s="49"/>
      <c r="D106" s="45">
        <f>D107+D108+D109+D112</f>
        <v>921893.46699999995</v>
      </c>
      <c r="E106" s="227">
        <f>E107+E108+E109+E112</f>
        <v>959028.27299999993</v>
      </c>
      <c r="F106" s="45">
        <f t="shared" si="76"/>
        <v>318321.891</v>
      </c>
      <c r="G106" s="45">
        <f t="shared" ref="G106:K106" si="126">G107+G108+G109+G112</f>
        <v>89879.024000000005</v>
      </c>
      <c r="H106" s="45">
        <f t="shared" si="126"/>
        <v>76455.286999999997</v>
      </c>
      <c r="I106" s="45">
        <f t="shared" ref="I106" si="127">I107+I108+I109+I112</f>
        <v>70826.703999999998</v>
      </c>
      <c r="J106" s="45">
        <f t="shared" si="126"/>
        <v>81160.876000000004</v>
      </c>
      <c r="K106" s="45">
        <f t="shared" si="126"/>
        <v>335781.96399999998</v>
      </c>
      <c r="L106" s="45">
        <f t="shared" si="116"/>
        <v>-17460.072999999975</v>
      </c>
      <c r="M106" s="196">
        <f t="shared" si="117"/>
        <v>94.800175449566439</v>
      </c>
      <c r="N106" s="45">
        <f>N107+N108+N109+N112</f>
        <v>335781.96399999998</v>
      </c>
      <c r="O106" s="45">
        <f t="shared" si="118"/>
        <v>-17460.072999999975</v>
      </c>
      <c r="P106" s="196">
        <f t="shared" si="119"/>
        <v>94.800175449566439</v>
      </c>
      <c r="Q106" s="196">
        <f t="shared" si="120"/>
        <v>33.192127902990407</v>
      </c>
      <c r="R106" s="45">
        <f>R107+R108+R109+R112</f>
        <v>279825.24100000004</v>
      </c>
      <c r="S106" s="87">
        <f t="shared" ref="S106:S115" si="128">F106-R106</f>
        <v>38496.649999999965</v>
      </c>
      <c r="T106" s="88">
        <f>F106/R106*100</f>
        <v>113.75739009905827</v>
      </c>
    </row>
    <row r="107" spans="1:20" s="55" customFormat="1" ht="22.5" x14ac:dyDescent="0.3">
      <c r="A107" s="170"/>
      <c r="B107" s="165" t="s">
        <v>149</v>
      </c>
      <c r="C107" s="53"/>
      <c r="D107" s="54">
        <f>D71</f>
        <v>0</v>
      </c>
      <c r="E107" s="54">
        <f>E71</f>
        <v>0</v>
      </c>
      <c r="F107" s="45">
        <f t="shared" si="76"/>
        <v>0</v>
      </c>
      <c r="G107" s="54">
        <f t="shared" ref="G107:K108" si="129">G71</f>
        <v>0</v>
      </c>
      <c r="H107" s="54">
        <f t="shared" si="129"/>
        <v>0</v>
      </c>
      <c r="I107" s="54">
        <f t="shared" si="129"/>
        <v>0</v>
      </c>
      <c r="J107" s="54">
        <f t="shared" si="129"/>
        <v>0</v>
      </c>
      <c r="K107" s="54">
        <f t="shared" si="129"/>
        <v>0</v>
      </c>
      <c r="L107" s="54">
        <f t="shared" si="116"/>
        <v>0</v>
      </c>
      <c r="M107" s="191"/>
      <c r="N107" s="54">
        <f>N71</f>
        <v>0</v>
      </c>
      <c r="O107" s="54">
        <f t="shared" si="118"/>
        <v>0</v>
      </c>
      <c r="P107" s="191"/>
      <c r="Q107" s="191"/>
      <c r="R107" s="45">
        <f>R71</f>
        <v>3665.2</v>
      </c>
      <c r="S107" s="92">
        <f t="shared" si="128"/>
        <v>-3665.2</v>
      </c>
      <c r="T107" s="93"/>
    </row>
    <row r="108" spans="1:20" s="55" customFormat="1" ht="22.5" x14ac:dyDescent="0.3">
      <c r="A108" s="170"/>
      <c r="B108" s="165" t="s">
        <v>110</v>
      </c>
      <c r="C108" s="53"/>
      <c r="D108" s="54">
        <f>D72</f>
        <v>0</v>
      </c>
      <c r="E108" s="54">
        <f>E72</f>
        <v>2126.0949999999998</v>
      </c>
      <c r="F108" s="45">
        <f t="shared" si="76"/>
        <v>2126.0950000000003</v>
      </c>
      <c r="G108" s="54">
        <f t="shared" si="129"/>
        <v>0</v>
      </c>
      <c r="H108" s="54">
        <f t="shared" si="129"/>
        <v>561.92399999999998</v>
      </c>
      <c r="I108" s="54">
        <f t="shared" si="129"/>
        <v>0</v>
      </c>
      <c r="J108" s="54">
        <f t="shared" si="129"/>
        <v>1564.171</v>
      </c>
      <c r="K108" s="54">
        <f t="shared" si="129"/>
        <v>2126.0949999999998</v>
      </c>
      <c r="L108" s="54">
        <f t="shared" si="116"/>
        <v>0</v>
      </c>
      <c r="M108" s="191">
        <f t="shared" si="117"/>
        <v>100.00000000000003</v>
      </c>
      <c r="N108" s="54">
        <f>N72</f>
        <v>2126.0949999999998</v>
      </c>
      <c r="O108" s="54">
        <f t="shared" si="118"/>
        <v>0</v>
      </c>
      <c r="P108" s="191">
        <f t="shared" ref="P108" si="130">F108/N108*100</f>
        <v>100.00000000000003</v>
      </c>
      <c r="Q108" s="191">
        <f t="shared" ref="Q108" si="131">F108/E108*100</f>
        <v>100.00000000000003</v>
      </c>
      <c r="R108" s="45">
        <f>R72</f>
        <v>0</v>
      </c>
      <c r="S108" s="92">
        <f t="shared" si="128"/>
        <v>2126.0950000000003</v>
      </c>
      <c r="T108" s="93"/>
    </row>
    <row r="109" spans="1:20" s="55" customFormat="1" ht="22.5" x14ac:dyDescent="0.3">
      <c r="A109" s="170"/>
      <c r="B109" s="56" t="s">
        <v>72</v>
      </c>
      <c r="C109" s="53"/>
      <c r="D109" s="54">
        <f>D110+D111</f>
        <v>921893.46699999995</v>
      </c>
      <c r="E109" s="54">
        <f t="shared" ref="E109" si="132">E110+E111</f>
        <v>932532.61599999992</v>
      </c>
      <c r="F109" s="45">
        <f t="shared" si="76"/>
        <v>291826.234</v>
      </c>
      <c r="G109" s="54">
        <f t="shared" ref="G109:K109" si="133">G110+G111</f>
        <v>65509.462</v>
      </c>
      <c r="H109" s="54">
        <f t="shared" ref="H109:J109" si="134">H110+H111</f>
        <v>75893.362999999998</v>
      </c>
      <c r="I109" s="54">
        <f t="shared" ref="I109" si="135">I110+I111</f>
        <v>70826.703999999998</v>
      </c>
      <c r="J109" s="54">
        <f t="shared" si="134"/>
        <v>79596.705000000002</v>
      </c>
      <c r="K109" s="54">
        <f t="shared" si="133"/>
        <v>309286.30700000003</v>
      </c>
      <c r="L109" s="54">
        <f t="shared" si="116"/>
        <v>-17460.073000000033</v>
      </c>
      <c r="M109" s="191">
        <f t="shared" si="117"/>
        <v>94.354721626909907</v>
      </c>
      <c r="N109" s="54">
        <f t="shared" ref="N109" si="136">N110+N111</f>
        <v>309286.30700000003</v>
      </c>
      <c r="O109" s="54">
        <f t="shared" si="118"/>
        <v>-17460.073000000033</v>
      </c>
      <c r="P109" s="191">
        <f t="shared" si="119"/>
        <v>94.354721626909907</v>
      </c>
      <c r="Q109" s="191">
        <f t="shared" si="120"/>
        <v>31.293943932144465</v>
      </c>
      <c r="R109" s="45">
        <f t="shared" ref="R109" si="137">R110+R111</f>
        <v>276160.04100000003</v>
      </c>
      <c r="S109" s="92">
        <f t="shared" si="128"/>
        <v>15666.19299999997</v>
      </c>
      <c r="T109" s="93">
        <f>F109/R109*100</f>
        <v>105.67286742255371</v>
      </c>
    </row>
    <row r="110" spans="1:20" s="173" customFormat="1" ht="23.25" x14ac:dyDescent="0.35">
      <c r="A110" s="171"/>
      <c r="B110" s="172" t="s">
        <v>100</v>
      </c>
      <c r="C110" s="172"/>
      <c r="D110" s="225">
        <f>D74+D97</f>
        <v>896476.1</v>
      </c>
      <c r="E110" s="225">
        <f>E74+E97</f>
        <v>896476.1</v>
      </c>
      <c r="F110" s="128">
        <f t="shared" si="76"/>
        <v>273506.19700000004</v>
      </c>
      <c r="G110" s="225">
        <f>G74+G97</f>
        <v>63808.4</v>
      </c>
      <c r="H110" s="225">
        <f>H74+H97</f>
        <v>63802.3</v>
      </c>
      <c r="I110" s="225">
        <f>I74+I97</f>
        <v>68667.997000000003</v>
      </c>
      <c r="J110" s="225">
        <f>J74+J97</f>
        <v>77227.5</v>
      </c>
      <c r="K110" s="225">
        <f>K74+K97</f>
        <v>290765.5</v>
      </c>
      <c r="L110" s="225">
        <f t="shared" si="116"/>
        <v>-17259.302999999956</v>
      </c>
      <c r="M110" s="198">
        <f t="shared" si="117"/>
        <v>94.064184712422914</v>
      </c>
      <c r="N110" s="225">
        <f>N74+N97</f>
        <v>290765.5</v>
      </c>
      <c r="O110" s="225">
        <f t="shared" si="118"/>
        <v>-17259.302999999956</v>
      </c>
      <c r="P110" s="198">
        <f t="shared" si="119"/>
        <v>94.064184712422914</v>
      </c>
      <c r="Q110" s="198">
        <f t="shared" si="120"/>
        <v>30.50903387162246</v>
      </c>
      <c r="R110" s="128">
        <f>R74+R97</f>
        <v>266459.40000000002</v>
      </c>
      <c r="S110" s="223">
        <f t="shared" si="128"/>
        <v>7046.7970000000205</v>
      </c>
      <c r="T110" s="224">
        <f>F110/R110*100</f>
        <v>102.64460439376506</v>
      </c>
    </row>
    <row r="111" spans="1:20" s="173" customFormat="1" ht="23.25" x14ac:dyDescent="0.35">
      <c r="A111" s="171"/>
      <c r="B111" s="172" t="s">
        <v>99</v>
      </c>
      <c r="C111" s="172"/>
      <c r="D111" s="225">
        <f>D98+D75</f>
        <v>25417.366999999998</v>
      </c>
      <c r="E111" s="225">
        <f>E98+E75</f>
        <v>36056.516000000003</v>
      </c>
      <c r="F111" s="128">
        <f t="shared" si="76"/>
        <v>18320.037</v>
      </c>
      <c r="G111" s="225">
        <f>G98+G75</f>
        <v>1701.0619999999999</v>
      </c>
      <c r="H111" s="225">
        <f>H98+H75</f>
        <v>12091.063</v>
      </c>
      <c r="I111" s="225">
        <f>I98+I75</f>
        <v>2158.7069999999999</v>
      </c>
      <c r="J111" s="225">
        <f>J98+J75</f>
        <v>2369.2049999999999</v>
      </c>
      <c r="K111" s="225">
        <f>K98+K75</f>
        <v>18520.807000000001</v>
      </c>
      <c r="L111" s="225">
        <f t="shared" si="116"/>
        <v>-200.77000000000044</v>
      </c>
      <c r="M111" s="198">
        <f t="shared" si="117"/>
        <v>98.915975961522633</v>
      </c>
      <c r="N111" s="225">
        <f>N98+N75</f>
        <v>18520.807000000001</v>
      </c>
      <c r="O111" s="225">
        <f t="shared" si="118"/>
        <v>-200.77000000000044</v>
      </c>
      <c r="P111" s="198">
        <f t="shared" si="119"/>
        <v>98.915975961522633</v>
      </c>
      <c r="Q111" s="198">
        <f t="shared" si="120"/>
        <v>50.809226826019461</v>
      </c>
      <c r="R111" s="128">
        <f>R98+R75</f>
        <v>9700.6409999999996</v>
      </c>
      <c r="S111" s="223">
        <f t="shared" si="128"/>
        <v>8619.3960000000006</v>
      </c>
      <c r="T111" s="224">
        <f>F111/R111*100</f>
        <v>188.85388089302552</v>
      </c>
    </row>
    <row r="112" spans="1:20" s="192" customFormat="1" ht="39" x14ac:dyDescent="0.25">
      <c r="A112" s="33"/>
      <c r="B112" s="190" t="s">
        <v>220</v>
      </c>
      <c r="C112" s="25"/>
      <c r="D112" s="54">
        <f>D99</f>
        <v>0</v>
      </c>
      <c r="E112" s="54">
        <f>E99</f>
        <v>24369.562000000002</v>
      </c>
      <c r="F112" s="45">
        <f t="shared" ref="F112" si="138">SUM(G112:J112)</f>
        <v>24369.562000000002</v>
      </c>
      <c r="G112" s="54">
        <f>G99</f>
        <v>24369.562000000002</v>
      </c>
      <c r="H112" s="54">
        <f>H99</f>
        <v>0</v>
      </c>
      <c r="I112" s="54">
        <f>I99</f>
        <v>0</v>
      </c>
      <c r="J112" s="54">
        <f>J99</f>
        <v>0</v>
      </c>
      <c r="K112" s="54">
        <f>K99</f>
        <v>24369.562000000002</v>
      </c>
      <c r="L112" s="54">
        <f t="shared" si="116"/>
        <v>0</v>
      </c>
      <c r="M112" s="191">
        <f t="shared" si="117"/>
        <v>100</v>
      </c>
      <c r="N112" s="228">
        <f>N99</f>
        <v>24369.562000000002</v>
      </c>
      <c r="O112" s="54">
        <f t="shared" si="118"/>
        <v>0</v>
      </c>
      <c r="P112" s="191">
        <f t="shared" si="119"/>
        <v>100</v>
      </c>
      <c r="Q112" s="191">
        <f t="shared" si="120"/>
        <v>100</v>
      </c>
      <c r="R112" s="45">
        <f>R99</f>
        <v>0</v>
      </c>
      <c r="S112" s="92">
        <f t="shared" si="128"/>
        <v>24369.562000000002</v>
      </c>
      <c r="T112" s="93"/>
    </row>
    <row r="113" spans="1:36" x14ac:dyDescent="0.2">
      <c r="A113" s="230"/>
      <c r="B113" s="230"/>
      <c r="C113" s="230"/>
      <c r="D113" s="230"/>
      <c r="E113" s="230"/>
      <c r="F113" s="231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1"/>
      <c r="S113" s="232"/>
      <c r="T113" s="230"/>
    </row>
    <row r="114" spans="1:36" s="153" customFormat="1" ht="46.5" x14ac:dyDescent="0.3">
      <c r="A114" s="162"/>
      <c r="B114" s="147" t="s">
        <v>125</v>
      </c>
      <c r="C114" s="154"/>
      <c r="D114" s="149">
        <f>D102+D106</f>
        <v>6355016.3520000009</v>
      </c>
      <c r="E114" s="149">
        <f>E102+E106</f>
        <v>6392151.1580000008</v>
      </c>
      <c r="F114" s="149">
        <f t="shared" si="76"/>
        <v>2168387.4280000003</v>
      </c>
      <c r="G114" s="149">
        <f>G102+G106</f>
        <v>557088.33100000012</v>
      </c>
      <c r="H114" s="149">
        <f>H102+H106</f>
        <v>551949.60800000001</v>
      </c>
      <c r="I114" s="149">
        <f>I102+I106</f>
        <v>473623.25300000014</v>
      </c>
      <c r="J114" s="149">
        <f>J102+J106</f>
        <v>585726.23599999992</v>
      </c>
      <c r="K114" s="149">
        <f>K102+K106</f>
        <v>2022547.7169999999</v>
      </c>
      <c r="L114" s="149">
        <f t="shared" si="116"/>
        <v>145839.71100000036</v>
      </c>
      <c r="M114" s="199">
        <f t="shared" si="117"/>
        <v>107.21069321500711</v>
      </c>
      <c r="N114" s="149">
        <f>N102+N106</f>
        <v>2146822.9256666666</v>
      </c>
      <c r="O114" s="149">
        <f t="shared" si="118"/>
        <v>21564.502333333716</v>
      </c>
      <c r="P114" s="199">
        <f t="shared" si="119"/>
        <v>101.00448444422294</v>
      </c>
      <c r="Q114" s="199">
        <f t="shared" si="120"/>
        <v>33.922655681979421</v>
      </c>
      <c r="R114" s="149">
        <f>R102+R106</f>
        <v>2057686.8519999995</v>
      </c>
      <c r="S114" s="150">
        <f t="shared" si="128"/>
        <v>110700.57600000082</v>
      </c>
      <c r="T114" s="151">
        <f>F114/R114*100</f>
        <v>105.37985534059295</v>
      </c>
    </row>
    <row r="115" spans="1:36" s="153" customFormat="1" ht="93" x14ac:dyDescent="0.3">
      <c r="A115" s="162"/>
      <c r="B115" s="147" t="s">
        <v>192</v>
      </c>
      <c r="C115" s="154"/>
      <c r="D115" s="149">
        <f>D114</f>
        <v>6355016.3520000009</v>
      </c>
      <c r="E115" s="149">
        <f>E114</f>
        <v>6392151.1580000008</v>
      </c>
      <c r="F115" s="149">
        <f t="shared" si="76"/>
        <v>2168387.4280000003</v>
      </c>
      <c r="G115" s="149">
        <f>G114</f>
        <v>557088.33100000012</v>
      </c>
      <c r="H115" s="149">
        <f>H114</f>
        <v>551949.60800000001</v>
      </c>
      <c r="I115" s="149">
        <f>I114</f>
        <v>473623.25300000014</v>
      </c>
      <c r="J115" s="149">
        <f>J114</f>
        <v>585726.23599999992</v>
      </c>
      <c r="K115" s="149">
        <f>K114</f>
        <v>2022547.7169999999</v>
      </c>
      <c r="L115" s="149">
        <f t="shared" ref="L115" si="139">F115-K115</f>
        <v>145839.71100000036</v>
      </c>
      <c r="M115" s="199">
        <f t="shared" ref="M115" si="140">F115/K115*100</f>
        <v>107.21069321500711</v>
      </c>
      <c r="N115" s="149">
        <f>N114</f>
        <v>2146822.9256666666</v>
      </c>
      <c r="O115" s="149">
        <f t="shared" ref="O115" si="141">F115-N115</f>
        <v>21564.502333333716</v>
      </c>
      <c r="P115" s="199">
        <f t="shared" ref="P115" si="142">F115/N115*100</f>
        <v>101.00448444422294</v>
      </c>
      <c r="Q115" s="199">
        <f t="shared" ref="Q115" si="143">F115/E115*100</f>
        <v>33.922655681979421</v>
      </c>
      <c r="R115" s="149">
        <f>R100+R78</f>
        <v>1771466.8339999996</v>
      </c>
      <c r="S115" s="150">
        <f t="shared" si="128"/>
        <v>396920.59400000074</v>
      </c>
      <c r="T115" s="151">
        <f>F115/R115*100</f>
        <v>122.40632375282736</v>
      </c>
    </row>
    <row r="116" spans="1:36" s="14" customFormat="1" ht="75" customHeight="1" x14ac:dyDescent="0.4">
      <c r="A116" s="34"/>
      <c r="B116" s="246" t="s">
        <v>168</v>
      </c>
      <c r="C116" s="246"/>
      <c r="D116" s="246"/>
      <c r="E116" s="21"/>
      <c r="F116" s="21" t="s">
        <v>90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94"/>
      <c r="T116" s="95"/>
    </row>
    <row r="117" spans="1:36" s="7" customFormat="1" ht="18" customHeight="1" x14ac:dyDescent="0.45">
      <c r="A117" s="6"/>
      <c r="B117" s="29" t="s">
        <v>52</v>
      </c>
      <c r="C117" s="18"/>
      <c r="D117" s="18"/>
      <c r="E117" s="1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96"/>
      <c r="T117" s="97"/>
    </row>
    <row r="118" spans="1:36" s="19" customFormat="1" ht="18.75" x14ac:dyDescent="0.3">
      <c r="B118" s="4"/>
      <c r="C118" s="3"/>
      <c r="D118" s="3"/>
      <c r="E118" s="113"/>
      <c r="F118" s="14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140"/>
      <c r="S118" s="1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s="19" customFormat="1" ht="18.75" x14ac:dyDescent="0.3">
      <c r="B119" s="4"/>
      <c r="C119" s="3"/>
      <c r="D119" s="14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1"/>
      <c r="S119" s="1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s="19" customFormat="1" ht="18.75" x14ac:dyDescent="0.3">
      <c r="B120" s="4"/>
      <c r="C120" s="3"/>
      <c r="D120" s="3"/>
      <c r="E120" s="3"/>
      <c r="F120" s="3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1"/>
      <c r="S120" s="1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s="19" customFormat="1" ht="22.5" x14ac:dyDescent="0.3">
      <c r="B121" s="4"/>
      <c r="C121" s="3"/>
      <c r="D121" s="138"/>
      <c r="E121" s="3"/>
      <c r="F121" s="3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1"/>
      <c r="S121" s="1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s="19" customFormat="1" ht="18.75" x14ac:dyDescent="0.3">
      <c r="B122" s="4"/>
      <c r="C122" s="3"/>
      <c r="D122" s="3"/>
      <c r="E122" s="3"/>
      <c r="F122" s="14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140"/>
      <c r="S122" s="1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s="19" customFormat="1" ht="18.75" x14ac:dyDescent="0.3">
      <c r="B123" s="4"/>
      <c r="C123" s="3"/>
      <c r="D123" s="3"/>
      <c r="E123" s="3"/>
      <c r="F123" s="3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1"/>
      <c r="S123" s="1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s="19" customFormat="1" ht="18.75" x14ac:dyDescent="0.3">
      <c r="B124" s="4"/>
      <c r="C124" s="3"/>
      <c r="D124" s="3"/>
      <c r="E124" s="3"/>
      <c r="F124" s="3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1"/>
      <c r="S124" s="1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s="19" customFormat="1" ht="18.75" x14ac:dyDescent="0.3">
      <c r="B125" s="27"/>
      <c r="F125" s="3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1"/>
      <c r="S125" s="1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s="19" customFormat="1" ht="18.75" x14ac:dyDescent="0.3">
      <c r="B126" s="27"/>
      <c r="F126" s="3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1"/>
      <c r="S126" s="1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</sheetData>
  <mergeCells count="32">
    <mergeCell ref="A1:T1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J3:J4"/>
    <mergeCell ref="S3:S4"/>
    <mergeCell ref="T3:T4"/>
    <mergeCell ref="A6:T6"/>
    <mergeCell ref="A7:A9"/>
    <mergeCell ref="B9:C9"/>
    <mergeCell ref="M3:M4"/>
    <mergeCell ref="N3:N4"/>
    <mergeCell ref="O3:O4"/>
    <mergeCell ref="P3:P4"/>
    <mergeCell ref="Q3:Q4"/>
    <mergeCell ref="R3:R4"/>
    <mergeCell ref="H3:H4"/>
    <mergeCell ref="I3:I4"/>
    <mergeCell ref="D8:Q8"/>
    <mergeCell ref="B116:D116"/>
    <mergeCell ref="C17:C19"/>
    <mergeCell ref="C25:C27"/>
    <mergeCell ref="A52:C52"/>
    <mergeCell ref="A53:C53"/>
    <mergeCell ref="A101:T101"/>
    <mergeCell ref="A79:T79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1" manualBreakCount="1">
    <brk id="78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2023</vt:lpstr>
      <vt:lpstr>2023 (2)</vt:lpstr>
      <vt:lpstr>'2023'!Заголовки_для_друку</vt:lpstr>
      <vt:lpstr>'2023 (2)'!Заголовки_для_друку</vt:lpstr>
      <vt:lpstr>'2023'!Область_друку</vt:lpstr>
      <vt:lpstr>'2023 (2)'!Область_друку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2024-05-01T08:58:04Z</cp:lastPrinted>
  <dcterms:created xsi:type="dcterms:W3CDTF">1996-10-08T23:32:33Z</dcterms:created>
  <dcterms:modified xsi:type="dcterms:W3CDTF">2024-05-07T11:36:49Z</dcterms:modified>
</cp:coreProperties>
</file>